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9540" windowHeight="4605" tabRatio="601" activeTab="1"/>
  </bookViews>
  <sheets>
    <sheet name="rubro 1" sheetId="1" r:id="rId1"/>
    <sheet name="rubro 2" sheetId="2" r:id="rId2"/>
    <sheet name="rubro 3" sheetId="3" r:id="rId3"/>
    <sheet name="rubro 4" sheetId="4" r:id="rId4"/>
    <sheet name="rubro 5" sheetId="5" r:id="rId5"/>
    <sheet name="rubro 6" sheetId="6" r:id="rId6"/>
    <sheet name="rubro 7" sheetId="7" r:id="rId7"/>
    <sheet name="rubro 8" sheetId="8" r:id="rId8"/>
    <sheet name="rubro 9" sheetId="9" r:id="rId9"/>
    <sheet name="rubro 10" sheetId="10" r:id="rId10"/>
    <sheet name="rubro 11" sheetId="11" r:id="rId11"/>
    <sheet name="rubro 12" sheetId="12" r:id="rId12"/>
    <sheet name="rubro 13" sheetId="13" r:id="rId13"/>
    <sheet name="rubro 14" sheetId="14" r:id="rId14"/>
    <sheet name="rubro15" sheetId="15" r:id="rId15"/>
    <sheet name="rubro 16" sheetId="16" r:id="rId16"/>
    <sheet name="rubro 17" sheetId="17" r:id="rId17"/>
    <sheet name="rubro 18" sheetId="18" r:id="rId18"/>
    <sheet name="rubro 19" sheetId="19" r:id="rId19"/>
  </sheets>
  <definedNames/>
  <calcPr fullCalcOnLoad="1"/>
</workbook>
</file>

<file path=xl/sharedStrings.xml><?xml version="1.0" encoding="utf-8"?>
<sst xmlns="http://schemas.openxmlformats.org/spreadsheetml/2006/main" count="4420" uniqueCount="1046">
  <si>
    <t>Revoques a la cal predosificados y proyectados,</t>
  </si>
  <si>
    <t>para exteriores: hidrófugo, grueso y fino en la misma</t>
  </si>
  <si>
    <t>operación; espesor 17 mm (andamios ver Rubro 5); por m2:</t>
  </si>
  <si>
    <t>a) Superficies de 400 a 600 m2 a razón de 110 m2/día;</t>
  </si>
  <si>
    <t>5 oficiales + 1 ayudante:</t>
  </si>
  <si>
    <t>pd-05</t>
  </si>
  <si>
    <t>b) Superficies de 300 m2 a razón de 60 m2/día;</t>
  </si>
  <si>
    <t>3 oficiales + 1 ayudante:</t>
  </si>
  <si>
    <t xml:space="preserve">en interiores: grueso y fino en la misma operación, </t>
  </si>
  <si>
    <t>espesor 10 mm (andamios sencillos incluidos) por m2:</t>
  </si>
  <si>
    <t>a) Superficies de aprox. 770 m2, a razón de 120 m2/día;</t>
  </si>
  <si>
    <t>7 oficiales + 1 ayudante:</t>
  </si>
  <si>
    <t>pd-06</t>
  </si>
  <si>
    <t>b) Superficies de aprox. 420 m2 a razón de 70 m2/día;</t>
  </si>
  <si>
    <t>4 oficiales + 1 ayudante:</t>
  </si>
  <si>
    <t>15 - Cielo rasos</t>
  </si>
  <si>
    <t>Nota: Andamios ver Rubro "Andamios, vallados y protecciones" (Hoja 305.000)</t>
  </si>
  <si>
    <t>Salpicado de concreto sobre superficie de losa para</t>
  </si>
  <si>
    <t>recibir grueso de cielo rasos aplicado, mezcla</t>
  </si>
  <si>
    <r>
      <t>concreto 1:3, por m2:</t>
    </r>
    <r>
      <rPr>
        <sz val="12"/>
        <color indexed="21"/>
        <rFont val="MS Serif"/>
        <family val="1"/>
      </rPr>
      <t xml:space="preserve"> cemento</t>
    </r>
  </si>
  <si>
    <t>Grueso para cielo rasos bajo fino a la cal, mezcla</t>
  </si>
  <si>
    <r>
      <t>1/8 : 1 : 3, por m2:</t>
    </r>
    <r>
      <rPr>
        <sz val="12"/>
        <color indexed="21"/>
        <rFont val="MS Serif"/>
        <family val="1"/>
      </rPr>
      <t xml:space="preserve"> cemento</t>
    </r>
  </si>
  <si>
    <t>Grueso para cielo rasos bajo yeso, mezcla</t>
  </si>
  <si>
    <r>
      <t>1/4 : 1 :3, por m2:</t>
    </r>
    <r>
      <rPr>
        <sz val="12"/>
        <color indexed="21"/>
        <rFont val="MS Serif"/>
        <family val="1"/>
      </rPr>
      <t xml:space="preserve"> cemento</t>
    </r>
  </si>
  <si>
    <t>Grueso para cielo rasos bajo enlucido cementicio</t>
  </si>
  <si>
    <t>(símil piedra), mezcla 1 : 1 : 5, por m2:</t>
  </si>
  <si>
    <t>Enlucido de cielo rasos a la cal terminación</t>
  </si>
  <si>
    <t>fratazada, mezcla envasada predosificada, por m2:</t>
  </si>
  <si>
    <t>Enlucido de cielo rasos a la cal terminación al</t>
  </si>
  <si>
    <t>fieltro, mezcla envasada predosificada, por m2:</t>
  </si>
  <si>
    <t>Enlucido de base cementicia símil-piedra (envasado</t>
  </si>
  <si>
    <r>
      <t>predosificado), por m2:</t>
    </r>
    <r>
      <rPr>
        <sz val="12"/>
        <color indexed="21"/>
        <rFont val="MS Serif"/>
        <family val="1"/>
      </rPr>
      <t xml:space="preserve"> material predosificado</t>
    </r>
  </si>
  <si>
    <t>Salpicado de concreto 1:3 sobre metal</t>
  </si>
  <si>
    <r>
      <t>desplegado, por m2:</t>
    </r>
    <r>
      <rPr>
        <sz val="12"/>
        <color indexed="21"/>
        <rFont val="MS Serif"/>
        <family val="1"/>
      </rPr>
      <t xml:space="preserve"> cemento</t>
    </r>
  </si>
  <si>
    <t>Armazón de madera para cielo rasos suspendidos,</t>
  </si>
  <si>
    <t>luces hasta 3 m (no incluye armado de andamios),</t>
  </si>
  <si>
    <t>por m2: madera de 1"</t>
  </si>
  <si>
    <t>metal desplegado</t>
  </si>
  <si>
    <t>ac-10</t>
  </si>
  <si>
    <t>ef-03</t>
  </si>
  <si>
    <t>alambre de atar</t>
  </si>
  <si>
    <t>luces de 3 a 5 m (no incluye armado de andamios),</t>
  </si>
  <si>
    <t>Armazón de hierro redondo para cielo rasos</t>
  </si>
  <si>
    <t>suspendidos, colgados de la losa (sin armado de</t>
  </si>
  <si>
    <r>
      <t>andamios), por m2:</t>
    </r>
    <r>
      <rPr>
        <sz val="12"/>
        <color indexed="21"/>
        <rFont val="MS Serif"/>
        <family val="1"/>
      </rPr>
      <t xml:space="preserve"> hierro redondo (ø 10 y ø 6)</t>
    </r>
  </si>
  <si>
    <t>suspendidos con estructura independiente, de</t>
  </si>
  <si>
    <t>perfiles metálicos (sin armado de andamios), luz hasta</t>
  </si>
  <si>
    <t>4,50 m, por m2: perfiles metálicos</t>
  </si>
  <si>
    <t>ac-09</t>
  </si>
  <si>
    <t>hierro redondo (ø 10)</t>
  </si>
  <si>
    <t>16 - Pisos</t>
  </si>
  <si>
    <t>Piso de cemento y arena fina, alisado o rodillado,</t>
  </si>
  <si>
    <t>espesor 2,5 cm, 2 capas (1:3 de 2 cm + 1:2 de 5 mm +</t>
  </si>
  <si>
    <t>espolvoreo de cemento puro), por m2:</t>
  </si>
  <si>
    <t>Piso de ladrillo común, puesto de plano, junta recta,</t>
  </si>
  <si>
    <t>mezcla 1/4 : 1 : 4 y junta abierta tomada con concreto</t>
  </si>
  <si>
    <r>
      <t xml:space="preserve">1:3, por m2: </t>
    </r>
    <r>
      <rPr>
        <sz val="12"/>
        <color indexed="21"/>
        <rFont val="MS Serif"/>
        <family val="1"/>
      </rPr>
      <t>cemento</t>
    </r>
  </si>
  <si>
    <t>Piso de baldosas calcáreas de vereda o cerámico</t>
  </si>
  <si>
    <t>tipo azotea, 20x20, junta cerrada, mezcla 1/4 : 1 : 4</t>
  </si>
  <si>
    <t>(excluyendo la provisión de las baldosas), por m2:</t>
  </si>
  <si>
    <t xml:space="preserve">Piso de baldosones 40 x 60, mezcla 1/2 : 1 : 4 </t>
  </si>
  <si>
    <t>(excluyendo provisión de baldosones), por m2:</t>
  </si>
  <si>
    <t xml:space="preserve">Piso de lajas irregulares tipo San Luis, mezcla </t>
  </si>
  <si>
    <t>1/4 : 1 : 4 junta tomada con concreto 1:3 (excluyendo la</t>
  </si>
  <si>
    <r>
      <t>provisión de las lajas), por m2:</t>
    </r>
    <r>
      <rPr>
        <sz val="12"/>
        <color indexed="21"/>
        <rFont val="MS Serif"/>
        <family val="1"/>
      </rPr>
      <t xml:space="preserve"> cemento</t>
    </r>
  </si>
  <si>
    <t>Piso de mosaicos graníticos, mezcla 1/4 : 1 : 4</t>
  </si>
  <si>
    <t>(excluyendo provisión de los mosaicos), por m2:</t>
  </si>
  <si>
    <r>
      <t>a) En locales sanitarios:</t>
    </r>
    <r>
      <rPr>
        <sz val="12"/>
        <color indexed="21"/>
        <rFont val="MS Serif"/>
        <family val="1"/>
      </rPr>
      <t xml:space="preserve"> cemento</t>
    </r>
  </si>
  <si>
    <t>pastina</t>
  </si>
  <si>
    <t>pd-07</t>
  </si>
  <si>
    <r>
      <t>b) En locales comunes:</t>
    </r>
    <r>
      <rPr>
        <sz val="12"/>
        <color indexed="21"/>
        <rFont val="MS Serif"/>
        <family val="1"/>
      </rPr>
      <t xml:space="preserve"> cemento</t>
    </r>
  </si>
  <si>
    <t>Carpeta bajo pisos cerámicos o similar, espesor</t>
  </si>
  <si>
    <t>1,8 cm, mezcla 1/4 : 1 : 4 (cemento, cal hidráulica, arena),</t>
  </si>
  <si>
    <t>Piso cerámicos 8x16, colocado con mezcla</t>
  </si>
  <si>
    <t>adhesiva, (excluyendo la provisión del cerámico), por m2:</t>
  </si>
  <si>
    <t>mezcla adhesiva</t>
  </si>
  <si>
    <t>pd-08</t>
  </si>
  <si>
    <t xml:space="preserve">Piso cerámicos 20x20 ó 30x30, colocado con </t>
  </si>
  <si>
    <t xml:space="preserve">mezcla adhesiva, (excluyendo la provisión del cerámico), </t>
  </si>
  <si>
    <r>
      <t>por m2:</t>
    </r>
    <r>
      <rPr>
        <sz val="12"/>
        <color indexed="21"/>
        <rFont val="MS Serif"/>
        <family val="1"/>
      </rPr>
      <t xml:space="preserve"> mezcla adhesiva</t>
    </r>
  </si>
  <si>
    <t>Piso de porcelanato, colocado con mezcla</t>
  </si>
  <si>
    <t>adhesiva, (excluyendo la provisión del cerámico) por m2:</t>
  </si>
  <si>
    <t>Carpeta para clavar y pegar parquet, mezcla</t>
  </si>
  <si>
    <t>1 : 1 1/2 : 5 : 8 (cemento, cal hidráulica, arena fina, polvo</t>
  </si>
  <si>
    <t>de ladrillos), espesor 2,5 cm, por m2:</t>
  </si>
  <si>
    <t>16.12</t>
  </si>
  <si>
    <t>Piso parquet colocado a bastón roto (excluyendo la</t>
  </si>
  <si>
    <t>provisión del parquet), pegado y clavado sobre carpeta,</t>
  </si>
  <si>
    <r>
      <t xml:space="preserve">por m2: </t>
    </r>
    <r>
      <rPr>
        <sz val="12"/>
        <color indexed="21"/>
        <rFont val="MS Serif"/>
        <family val="1"/>
      </rPr>
      <t>mastic asfáltico</t>
    </r>
  </si>
  <si>
    <t>as-04</t>
  </si>
  <si>
    <t>pintura de imprimación</t>
  </si>
  <si>
    <t>17 - Zócalos</t>
  </si>
  <si>
    <t>Zócalo de cemento alisado, concreto 1:3 y cemento</t>
  </si>
  <si>
    <t>puro, alto 10 cm, por metro lineal:</t>
  </si>
  <si>
    <t xml:space="preserve">Zócalo cerámico sin corte de piezas, 8x16 o </t>
  </si>
  <si>
    <t xml:space="preserve">similar, mezcla 1/4 : 1 : 4 (cemento, cal aérea, arena fina), </t>
  </si>
  <si>
    <t>(excluyendo la provisión del zócalo),  por metro lineal:</t>
  </si>
  <si>
    <t>Zócalo cerámico con corte de piezas de mayor</t>
  </si>
  <si>
    <t xml:space="preserve">tamaño, mezcla 1/4 : 1 : 4 (cemento, cal aérea, arena </t>
  </si>
  <si>
    <t>fina), (excluyendo la provisión del zócalo) por metro</t>
  </si>
  <si>
    <r>
      <t>lineal:</t>
    </r>
    <r>
      <rPr>
        <sz val="12"/>
        <color indexed="21"/>
        <rFont val="MS Serif"/>
        <family val="1"/>
      </rPr>
      <t xml:space="preserve"> cemento</t>
    </r>
  </si>
  <si>
    <t>Zócalo cerámico sanitario, mezcla 1/4 : 1 : 4</t>
  </si>
  <si>
    <t>(cemento, cal aérea, arena fina), (excluyendo la provisión</t>
  </si>
  <si>
    <t>del zócalo), por metro lineal:</t>
  </si>
  <si>
    <t>Zócalo de porcelanato, con corte de piezas, mezcla</t>
  </si>
  <si>
    <t>1/4 : 1 : 4 (cemento, cal aérea, arena fina), (excluyendo el</t>
  </si>
  <si>
    <t>porcelanato), por metro lineal:</t>
  </si>
  <si>
    <t>Zócalos rectos graníticos o calcáreos, 10x30 o</t>
  </si>
  <si>
    <t xml:space="preserve">similar, mezcla 1/4 : 1 : 4 (cemento, cal aérea, arena </t>
  </si>
  <si>
    <t>fina), (excluyendo la provisión del zócalo), por metro</t>
  </si>
  <si>
    <t xml:space="preserve">Zócalo granítico sanitario, mezcla 1/4 : 1 : 4 </t>
  </si>
  <si>
    <t xml:space="preserve">Zócalo de lajas de San Luis, altura 0,15 m, mezcla </t>
  </si>
  <si>
    <t xml:space="preserve">1/4 : 1 : 4 (cemento, cal aérea, arena fina), (excluyendo </t>
  </si>
  <si>
    <t>la provisión de las lajas), por metro lineal:</t>
  </si>
  <si>
    <t>Zócalo de madera, incluyendo colocación de tacos</t>
  </si>
  <si>
    <t>con el picado de su alojamiento (excluyendo la provisión</t>
  </si>
  <si>
    <t>del zócalo de madera), por metro lineal:</t>
  </si>
  <si>
    <t>tacos</t>
  </si>
  <si>
    <t>18 - Revestimientos</t>
  </si>
  <si>
    <t xml:space="preserve">Nota: Revestimientos de mármol o granitos. Ver Rubro "Marmolería" </t>
  </si>
  <si>
    <t>Azulejos 15x15 con junta cerrada, colocados con</t>
  </si>
  <si>
    <t>adhesivo sobre revoque existente, incluso cuartacañas;</t>
  </si>
  <si>
    <r>
      <t xml:space="preserve">por m2: </t>
    </r>
    <r>
      <rPr>
        <sz val="12"/>
        <color indexed="21"/>
        <rFont val="MS Serif"/>
        <family val="1"/>
      </rPr>
      <t>azulejos</t>
    </r>
  </si>
  <si>
    <t>az-01</t>
  </si>
  <si>
    <t>adhesivo</t>
  </si>
  <si>
    <t>Azulejos 15x15 decorados o en disposición no</t>
  </si>
  <si>
    <t>ortogonal, con junta cerrada, colocados con adhesivo</t>
  </si>
  <si>
    <t>sobre revoque existente, incluso cuartacañas; por m2:</t>
  </si>
  <si>
    <t>azulejos</t>
  </si>
  <si>
    <t>az-02</t>
  </si>
  <si>
    <t>Azulejos 15x15 con junta abierta, colocados con</t>
  </si>
  <si>
    <t>adhesivo sobre revoque existente; por m2:</t>
  </si>
  <si>
    <t>mezcla de cal 1/2:1:4; por m2:</t>
  </si>
  <si>
    <t xml:space="preserve">Mosaico veneciano, con mezcla de cal 1/2:1;4; </t>
  </si>
  <si>
    <r>
      <t>por m2:</t>
    </r>
    <r>
      <rPr>
        <sz val="12"/>
        <color indexed="21"/>
        <rFont val="MS Serif"/>
        <family val="1"/>
      </rPr>
      <t xml:space="preserve"> veneciano</t>
    </r>
  </si>
  <si>
    <t>az-03</t>
  </si>
  <si>
    <t>Porcelanatos, 20x20 a 60x60, colocados con adhesivo</t>
  </si>
  <si>
    <t>sobre revoque existente; por m2:</t>
  </si>
  <si>
    <t>porcelanato</t>
  </si>
  <si>
    <t>xa-06</t>
  </si>
  <si>
    <t>Accesorios de embutir (toalleros se computan doble);</t>
  </si>
  <si>
    <r>
      <t>por cada uno:</t>
    </r>
    <r>
      <rPr>
        <sz val="12"/>
        <color indexed="21"/>
        <rFont val="MS Serif"/>
        <family val="1"/>
      </rPr>
      <t xml:space="preserve"> accesorio</t>
    </r>
  </si>
  <si>
    <t>xa-07</t>
  </si>
  <si>
    <t>Revestimiento de tejuelas imitación ladrillo de má-</t>
  </si>
  <si>
    <t>quina, colocados con adhesivo sobre revoque existente,</t>
  </si>
  <si>
    <t>incluso tomado de juntas; por m2:</t>
  </si>
  <si>
    <t>tejuelas de máquina</t>
  </si>
  <si>
    <t>az-06</t>
  </si>
  <si>
    <t>Revestimiento de tejuelas imitación ladrillo común,</t>
  </si>
  <si>
    <t>colocadas con adhesivo sobre revoque existente, incluso</t>
  </si>
  <si>
    <r>
      <t>tomado de juntas; por m2:</t>
    </r>
    <r>
      <rPr>
        <sz val="12"/>
        <color indexed="21"/>
        <rFont val="MS Serif"/>
        <family val="1"/>
      </rPr>
      <t xml:space="preserve"> tejuelas de ladrillo común</t>
    </r>
  </si>
  <si>
    <t>az-07</t>
  </si>
  <si>
    <t>Revestimiento de piedra irregular labrada (tipo</t>
  </si>
  <si>
    <t>Mar del Plata); por m2:</t>
  </si>
  <si>
    <t>piedra irregular labrada</t>
  </si>
  <si>
    <t>pa-01</t>
  </si>
  <si>
    <t>19 - Cubiertas Planas</t>
  </si>
  <si>
    <t xml:space="preserve">Nota: Por contrapisos de pendiente para azoteas,  </t>
  </si>
  <si>
    <t xml:space="preserve">Ladrillo común colocado de plano en seco, junta </t>
  </si>
  <si>
    <t>y contrapisos aislantes térmicos,</t>
  </si>
  <si>
    <t>cerrada, con barrido de concreto 1:3, por m2:</t>
  </si>
  <si>
    <t>ver Rubro "Contrapisos", renglones 5, 6 y 8</t>
  </si>
  <si>
    <t>ladrillo común</t>
  </si>
  <si>
    <t>Ladrillo hueco 8x15x20, colocado de plano en seco,</t>
  </si>
  <si>
    <t>junta de 1/2 cm, con barrido de concreto 1:3, por m2:</t>
  </si>
  <si>
    <t>ladrillo hueco</t>
  </si>
  <si>
    <t>Hormigón de vermiculita, mezcla 1:8, espesor 10</t>
  </si>
  <si>
    <r>
      <t>cm, por m2:</t>
    </r>
    <r>
      <rPr>
        <sz val="12"/>
        <color indexed="21"/>
        <rFont val="MS Serif"/>
        <family val="1"/>
      </rPr>
      <t xml:space="preserve"> cemento</t>
    </r>
  </si>
  <si>
    <t>Baldosas cerámicas 20x20, junta abierta, colocadas</t>
  </si>
  <si>
    <t>con mezcla 1/4 : 1 : 4 (cemento, cal hidráulica, arena</t>
  </si>
  <si>
    <t>fina) y junta tomada con concreto 1:3, por m2:</t>
  </si>
  <si>
    <t>baldosas</t>
  </si>
  <si>
    <t>az-08</t>
  </si>
  <si>
    <t>Losetas premoldeadas de hormigón, 40 x 40 x 8 cm,</t>
  </si>
  <si>
    <t>con patas, colocadas en seco, por m2:</t>
  </si>
  <si>
    <t>losetas</t>
  </si>
  <si>
    <t>az-09</t>
  </si>
  <si>
    <t>Losetas premoldeadas de hormigón, 40 x 40 cm,</t>
  </si>
  <si>
    <t>colocadas a junta abierta sobre pilares de mampostería</t>
  </si>
  <si>
    <t>30 x 30 cm, mezcla 1/4 : 1 : 4 (cemento, cal hidráulica,</t>
  </si>
  <si>
    <r>
      <t>arena fina), por m2:</t>
    </r>
    <r>
      <rPr>
        <sz val="12"/>
        <color indexed="21"/>
        <rFont val="MS Serif"/>
        <family val="1"/>
      </rPr>
      <t xml:space="preserve"> cemento</t>
    </r>
  </si>
  <si>
    <t>az-10</t>
  </si>
  <si>
    <t>Pintura de aluminio sobre techado existente,</t>
  </si>
  <si>
    <r>
      <t>1 mano, por m2:</t>
    </r>
    <r>
      <rPr>
        <sz val="12"/>
        <color indexed="21"/>
        <rFont val="MS Serif"/>
        <family val="1"/>
      </rPr>
      <t xml:space="preserve"> pintura de aluminio especial</t>
    </r>
  </si>
  <si>
    <t>para techados asfálticos</t>
  </si>
  <si>
    <t>as-05</t>
  </si>
  <si>
    <t>Techado acrílico fibrado, 4 manos, por m2:</t>
  </si>
  <si>
    <t>acrílico fibrado</t>
  </si>
  <si>
    <t>pi-01</t>
  </si>
  <si>
    <t>Techado asfáltico 7 capas, con asfalto en caliente,</t>
  </si>
  <si>
    <t xml:space="preserve">1 fieltro 15 lb y 1 techado Nº 2, terminación en binder, </t>
  </si>
  <si>
    <r>
      <t>por m2:</t>
    </r>
    <r>
      <rPr>
        <sz val="12"/>
        <color indexed="21"/>
        <rFont val="MS Serif"/>
        <family val="1"/>
      </rPr>
      <t xml:space="preserve"> pintura asfáltica</t>
    </r>
  </si>
  <si>
    <t>asfalto en panes</t>
  </si>
  <si>
    <t>fieltro 15 libras</t>
  </si>
  <si>
    <t>techado Nº 2</t>
  </si>
  <si>
    <t>as-06</t>
  </si>
  <si>
    <t>Techado asfáltico 9 capas, con asfalto en caliente,</t>
  </si>
  <si>
    <t>2 fieltros 15 lb y 1 techado Nº 2, terminación en binder,</t>
  </si>
  <si>
    <t>Techado de membrana flotante, por m2:</t>
  </si>
  <si>
    <t>membrana asfáltica espesor</t>
  </si>
  <si>
    <t>4 mm, con capa de aluminio</t>
  </si>
  <si>
    <t>gofrado 40 µm</t>
  </si>
  <si>
    <t>as-07</t>
  </si>
  <si>
    <t xml:space="preserve">Techado de membrana pegado en toda su </t>
  </si>
  <si>
    <r>
      <t>superficie, por m2:</t>
    </r>
    <r>
      <rPr>
        <sz val="12"/>
        <color indexed="21"/>
        <rFont val="MS Serif"/>
        <family val="1"/>
      </rPr>
      <t xml:space="preserve"> membrana transitable con</t>
    </r>
  </si>
  <si>
    <t>alma central de poliéster</t>
  </si>
  <si>
    <t>terminación mineralizada</t>
  </si>
  <si>
    <t>as-08</t>
  </si>
  <si>
    <t>Carpeta de concreto 1:3, terminación fratazada,</t>
  </si>
  <si>
    <r>
      <t>espesor 2,5 cm, por m2:</t>
    </r>
    <r>
      <rPr>
        <sz val="12"/>
        <color indexed="21"/>
        <rFont val="MS Serif"/>
        <family val="1"/>
      </rPr>
      <t xml:space="preserve"> cemento</t>
    </r>
  </si>
  <si>
    <t>Aislación térmica de poliestireno expandido,</t>
  </si>
  <si>
    <t>aplicado sobre asfalto en caliente y tapado con fieltro</t>
  </si>
  <si>
    <t>asfáltico (excluyendo el poliestireno), por m2:</t>
  </si>
  <si>
    <t>1 - Movimiento de Suelos</t>
  </si>
  <si>
    <t>Subrubro</t>
  </si>
  <si>
    <t>Letra</t>
  </si>
  <si>
    <t>Medidas</t>
  </si>
  <si>
    <t>Códigos de Precios</t>
  </si>
  <si>
    <t>Consumo U. Mat. y MO</t>
  </si>
  <si>
    <t>Precio Unitario</t>
  </si>
  <si>
    <t>Materiales</t>
  </si>
  <si>
    <t>Mano de Obra</t>
  </si>
  <si>
    <t>Total Gral.</t>
  </si>
  <si>
    <t>Observaciones</t>
  </si>
  <si>
    <t>Excavación de zanjas hasta 0,60 m de</t>
  </si>
  <si>
    <t>profundidad, incluyendo paleo al borde de la zanja,</t>
  </si>
  <si>
    <t xml:space="preserve">por m3 medido en firme: </t>
  </si>
  <si>
    <t>ayudante</t>
  </si>
  <si>
    <t>Hs</t>
  </si>
  <si>
    <t>op-02</t>
  </si>
  <si>
    <t>Excavación de zanjas hasta 1,20 m de</t>
  </si>
  <si>
    <t>profundidad, de 0,50 a 0,60 m de ancho, con paleo</t>
  </si>
  <si>
    <t>al borde de la zanja, por m3 medido en firme:</t>
  </si>
  <si>
    <t/>
  </si>
  <si>
    <t>Excavación de zanjas hasta 1,60 m de</t>
  </si>
  <si>
    <t>profundidad, de 0,60 a 0,80 m de ancho, con paleo</t>
  </si>
  <si>
    <t>Excavación de zanjas hasta 2 m de</t>
  </si>
  <si>
    <t>profundidad, de 0,80 a 1 m de ancho, con paleo</t>
  </si>
  <si>
    <t xml:space="preserve"> </t>
  </si>
  <si>
    <t>Relleno y apisonado de cimientos, y desparramo</t>
  </si>
  <si>
    <t>de tierra sobrante, por m3 medido en firme:</t>
  </si>
  <si>
    <t>Excavación para bases de columnas, de 0,80 a</t>
  </si>
  <si>
    <t>1 m de lado, hasta 1,50 m de profundidad, por m3</t>
  </si>
  <si>
    <t>medido en firme:</t>
  </si>
  <si>
    <t>Excavación para bases de columnas, de 1,50 m</t>
  </si>
  <si>
    <t>o más de lado, y 2 m de profundidad; paleo al borde del</t>
  </si>
  <si>
    <t>pozo; por m3 medido en firme:</t>
  </si>
  <si>
    <t>Relleno y apisonado de bases de columnas</t>
  </si>
  <si>
    <t>y desparramo de tierra sobrante, por m3 medido en</t>
  </si>
  <si>
    <t>firme:</t>
  </si>
  <si>
    <t>Excavaciones para pilotines con pala vizcachera,</t>
  </si>
  <si>
    <t>ø aprox. 0,25 m, hasta 2 m de profundidad y desparramo</t>
  </si>
  <si>
    <t>de la tierra excavada, por m lineal de profundidad:</t>
  </si>
  <si>
    <t>Excavación de pozos a mano para bases de</t>
  </si>
  <si>
    <t>columnas, o similar, de 1,50 m de mínimo de lado y</t>
  </si>
  <si>
    <t>hasta 4 m de profundidad, con elevación a roldana y</t>
  </si>
  <si>
    <t xml:space="preserve">balde de 20 litros, y acopio de la tierra al borde del pozo, </t>
  </si>
  <si>
    <t>por m3 medido en firme:</t>
  </si>
  <si>
    <t>Excavación de pozos profundos y estrechos</t>
  </si>
  <si>
    <t>como pozos negros o romanos, de aprox. 1,20 m</t>
  </si>
  <si>
    <t>de diámetro y hasta 8 m de profundidad, extracción a  torno</t>
  </si>
  <si>
    <t>y balde de 20 lts; y acopio de la tierra al borde de la excavación;</t>
  </si>
  <si>
    <t>Excavación a cielo abierto o situación similar,</t>
  </si>
  <si>
    <t>cava solamente, por m3 medido en firme:</t>
  </si>
  <si>
    <t>Paleo de tierra, horizontal hasta 3 m o vertical hasta</t>
  </si>
  <si>
    <t>1,50 m, por m3 (medido según se indica):</t>
  </si>
  <si>
    <r>
      <t>a) (medido suelto):</t>
    </r>
    <r>
      <rPr>
        <sz val="12"/>
        <color indexed="21"/>
        <rFont val="MS Serif"/>
        <family val="1"/>
      </rPr>
      <t xml:space="preserve"> ayudante</t>
    </r>
  </si>
  <si>
    <r>
      <t xml:space="preserve">b) (medido firme): </t>
    </r>
    <r>
      <rPr>
        <sz val="12"/>
        <color indexed="21"/>
        <rFont val="MS Serif"/>
        <family val="1"/>
      </rPr>
      <t>ayudante</t>
    </r>
  </si>
  <si>
    <t>Carga de camión o volquete, por m3 medido suelto:</t>
  </si>
  <si>
    <t>Desparramo de tierra desde la pila (sin traslado),</t>
  </si>
  <si>
    <t>por m3 (medido según se indica):</t>
  </si>
  <si>
    <r>
      <t>b) (medido firme):</t>
    </r>
    <r>
      <rPr>
        <sz val="12"/>
        <color indexed="21"/>
        <rFont val="MS Serif"/>
        <family val="1"/>
      </rPr>
      <t xml:space="preserve"> ayudante</t>
    </r>
  </si>
  <si>
    <t>Apisonado con pisones de mano, sin desparramo,</t>
  </si>
  <si>
    <t>en capas de 15 cm de espesor, por m3 (medido según se indica):</t>
  </si>
  <si>
    <t>Carga y traslado de tierra en carretilla, hasta 30 m</t>
  </si>
  <si>
    <t>utilizando 2 carretillas y 3 operarios, por m3 medido</t>
  </si>
  <si>
    <t>suelto:</t>
  </si>
  <si>
    <t>Excavaciones en galerías o túneles sin</t>
  </si>
  <si>
    <t>apuntalamientos ni entibados, hasta 5 m de largo,</t>
  </si>
  <si>
    <t>tierra acopiada en la boca de la excavación, por m3</t>
  </si>
  <si>
    <t>Excavaciones de zanjas o pozos en terrenos</t>
  </si>
  <si>
    <t>desmonorables, hasta 3 m de profundidad, incluyendo</t>
  </si>
  <si>
    <t>entibado, por m3 medido en firme:</t>
  </si>
  <si>
    <t>amortización madera</t>
  </si>
  <si>
    <t xml:space="preserve">m2 </t>
  </si>
  <si>
    <t>md-01</t>
  </si>
  <si>
    <t>clavos y alambre</t>
  </si>
  <si>
    <t>Kg</t>
  </si>
  <si>
    <t>xa-01</t>
  </si>
  <si>
    <t>oficial</t>
  </si>
  <si>
    <t>op-01</t>
  </si>
  <si>
    <t>Excavaciones de zanjas o pozos en terrenos de</t>
  </si>
  <si>
    <t>profundidad, por m3 medido en firme:</t>
  </si>
  <si>
    <t>md-01: amortización madera</t>
  </si>
  <si>
    <t>m2</t>
  </si>
  <si>
    <t>xa-01: clavos y alambre</t>
  </si>
  <si>
    <t>op-01: oficial</t>
  </si>
  <si>
    <t>op-02: ayudante</t>
  </si>
  <si>
    <t>fangosos, no inundados, con entibado, hasta 2,50 m de</t>
  </si>
  <si>
    <t>eq-01: amortiz/alquiler bomba</t>
  </si>
  <si>
    <t>días</t>
  </si>
  <si>
    <t>eq-01</t>
  </si>
  <si>
    <t>2 - Movimiento de Suelos con Máquinas</t>
  </si>
  <si>
    <t>2.1 Extracción de capa de tierra vegetal con malezas,</t>
  </si>
  <si>
    <t>Notas: En el precio unitario de "amortización, reparación y repuestos"</t>
  </si>
  <si>
    <t xml:space="preserve">con pala cargadora y su traslado a 6 km de distancia </t>
  </si>
  <si>
    <t>se debe consignar el valor de compra de los equipos; en el precio unitario</t>
  </si>
  <si>
    <t>con camiones volcadores, por m2:</t>
  </si>
  <si>
    <t>de "combustibles y lubricantes" el valor del gas-oil</t>
  </si>
  <si>
    <t>equipo: pala cargadora (115 HP) ($ 120.000);</t>
  </si>
  <si>
    <t>2 camiones (115 HP c/u) ($ 32.000 c/u).</t>
  </si>
  <si>
    <t>Nota: Para otras distancias la diferencia es proporcional</t>
  </si>
  <si>
    <t>personal: conductores + 2 ayudantes</t>
  </si>
  <si>
    <t>observaciones: para superficies mayores a 500 m2</t>
  </si>
  <si>
    <t>pala carg.: amortiz., reparac. y repuestos</t>
  </si>
  <si>
    <t>eq-02</t>
  </si>
  <si>
    <t>pala carg.: combust. y lubricantes</t>
  </si>
  <si>
    <t>Lts</t>
  </si>
  <si>
    <t>cb-01</t>
  </si>
  <si>
    <t>camiones: amortiz., reparac. y repuestos</t>
  </si>
  <si>
    <t>eq-03</t>
  </si>
  <si>
    <t>camiones: combust. y lubricantes</t>
  </si>
  <si>
    <t>oficial (maquinistas y conductores)</t>
  </si>
  <si>
    <t>op-05</t>
  </si>
  <si>
    <t>2.2 Excavación de sótanos o similar, con pala cargadora,</t>
  </si>
  <si>
    <t>hasta 4 m de profundidad, carga sobre camión, sin el</t>
  </si>
  <si>
    <t>transporte de la tierra, para una producción de 300</t>
  </si>
  <si>
    <t>m3/día medido en firme, por m3 medido en firme:</t>
  </si>
  <si>
    <t>equipo: 1 pala cargadora (115 HP) ($ 120.000).</t>
  </si>
  <si>
    <t>personal: conductor + 3 ayudantes.</t>
  </si>
  <si>
    <t>observaciones: para volúmenes mayores a 300 m3.</t>
  </si>
  <si>
    <t>pala carg.: combustibles y lubricantes</t>
  </si>
  <si>
    <t>oficial (maquinista)</t>
  </si>
  <si>
    <t>op-03</t>
  </si>
  <si>
    <t>Transporte de tierra fuera de una excavación,</t>
  </si>
  <si>
    <t>con camiones volcadores, hasta una distancia de 10 km,</t>
  </si>
  <si>
    <t>para una producción de 300 m3/día medidos en firme,</t>
  </si>
  <si>
    <t>equipo: 6 camiones (115 HP c/u) ($ 32.000 c/u)</t>
  </si>
  <si>
    <t>personal: 6 conductores</t>
  </si>
  <si>
    <t xml:space="preserve">camiones: amortiz., reparac. y repuestos </t>
  </si>
  <si>
    <t>camiones: combustibles y lubricantes</t>
  </si>
  <si>
    <t>oficial (conductores)</t>
  </si>
  <si>
    <t>op-04</t>
  </si>
  <si>
    <t>Base de suelo-cemento en caja excavada existente y</t>
  </si>
  <si>
    <t>sub-base compactada existente, por m3 medido</t>
  </si>
  <si>
    <t>terminado:</t>
  </si>
  <si>
    <t>equipo: Motoniveladora (165 HP); pala cargadora (115 HP);</t>
  </si>
  <si>
    <t>tractor sobre neumáticos (125 HP); rodillo pata de cabra;</t>
  </si>
  <si>
    <t>rodillo neumático; acoplado tanque regador. Valor de los</t>
  </si>
  <si>
    <t>equipos: $ 286.600. Rendimiento del conjunto: 250 m3/día</t>
  </si>
  <si>
    <t>(no se incluyen costos de traslado de equipos a obra).</t>
  </si>
  <si>
    <t>personal: 3 maquinistas + 4 ayudantes</t>
  </si>
  <si>
    <t>observaciones: para superficies mayores de 1000 m2;</t>
  </si>
  <si>
    <t>cemento en proporción del 8% del volumen final.</t>
  </si>
  <si>
    <t>cemento portland</t>
  </si>
  <si>
    <t>ag-01</t>
  </si>
  <si>
    <t>suelo seleccionado puesto en obra (medido suelto)</t>
  </si>
  <si>
    <t>m3</t>
  </si>
  <si>
    <t>tr-01</t>
  </si>
  <si>
    <t>equipos: amortiz., reparac. y repuestos</t>
  </si>
  <si>
    <t>combustibles y lubricantes</t>
  </si>
  <si>
    <t>eq-04</t>
  </si>
  <si>
    <t>Base de tosca compactada de 15 cm espesor, sobre</t>
  </si>
  <si>
    <t xml:space="preserve">5 cm de suelo-cal al 8% en volumen, incluyéndose la </t>
  </si>
  <si>
    <t>apertura de la caja y el retiro de tierra, por m3 medido</t>
  </si>
  <si>
    <t>en firme del conjunto terminado;</t>
  </si>
  <si>
    <t>equipo: Topadora sobre orugas (200 HP); pala cargadora</t>
  </si>
  <si>
    <t>(115 HP); motoniveladora (165 HP); tractor sobre neumá-</t>
  </si>
  <si>
    <t>ticos (125 HP); rodillo pata de cabra; acoplado tanque</t>
  </si>
  <si>
    <t xml:space="preserve">regador; 2 camiones volcadores (115 HP c/u). Valor total </t>
  </si>
  <si>
    <t>de los equipos: $ 590.000. Rendimiento del conjunto:</t>
  </si>
  <si>
    <t xml:space="preserve">300 m3/día (no se incluye costo de traslado de los </t>
  </si>
  <si>
    <t>equipos a obra).</t>
  </si>
  <si>
    <t>personal: 6 conductores + 5 ayudantes</t>
  </si>
  <si>
    <t>observaciones: para superficies mayores a 1500 m2.</t>
  </si>
  <si>
    <t>Tosca valor puesto en obra.</t>
  </si>
  <si>
    <t>cal hidráulica en polvo</t>
  </si>
  <si>
    <t>ag-02</t>
  </si>
  <si>
    <t>tosca de cantera (medida suelta)</t>
  </si>
  <si>
    <t>tr-02</t>
  </si>
  <si>
    <t>equipos y camiones: amortización, reparaciones y repuestos</t>
  </si>
  <si>
    <t>eq-05</t>
  </si>
  <si>
    <t>3 - Demoliciones</t>
  </si>
  <si>
    <t>Perforación de muros de 0,15 de espesor (otros</t>
  </si>
  <si>
    <t>espesores los tiempos son proporcionales), orificio de</t>
  </si>
  <si>
    <t>ø 2 cm, a mano, por perforación:</t>
  </si>
  <si>
    <t>a) en muros macizos: ayudante</t>
  </si>
  <si>
    <t>a)</t>
  </si>
  <si>
    <t>b) en paredes lad. huecos: ayudante</t>
  </si>
  <si>
    <t>b)</t>
  </si>
  <si>
    <t>Idem anterior, pero de ø 10 cm, a mano, por</t>
  </si>
  <si>
    <t>perforación:</t>
  </si>
  <si>
    <t>Idem anterior, pero de ø 20 cm, a mano, por</t>
  </si>
  <si>
    <t>Picado de muros para colocar tacos de madera,</t>
  </si>
  <si>
    <t>a mano, por taco: ayudante</t>
  </si>
  <si>
    <t>Picado de nicho en mampostería maciza, de 0,15 m</t>
  </si>
  <si>
    <t>de profundidad, para apoyo de viga o similar, por nicho:</t>
  </si>
  <si>
    <t>a) de 20 x 30 cm: ayudante</t>
  </si>
  <si>
    <t>b) de 30 x 50 cm: ayudante</t>
  </si>
  <si>
    <t>Picado de canaletas en mampostería maciza, (se</t>
  </si>
  <si>
    <t>indica profundidad x ancho), a mano, por m lineal:</t>
  </si>
  <si>
    <t>a) de 5 x 5 cm: ayudante</t>
  </si>
  <si>
    <t>b) de 7 x 15 cm: ayudante</t>
  </si>
  <si>
    <t>c) de 10 x 15 cm: ayudante</t>
  </si>
  <si>
    <t>c)</t>
  </si>
  <si>
    <t>d) de 15 x 20 cm: ayudante</t>
  </si>
  <si>
    <t>d)</t>
  </si>
  <si>
    <t>Picado de canaletas en mampostería de ladrillos</t>
  </si>
  <si>
    <t>huecos, a mano, por m lineal:</t>
  </si>
  <si>
    <t xml:space="preserve">Demolición de muros de mampostería maciza, </t>
  </si>
  <si>
    <t>a mano, por m2:</t>
  </si>
  <si>
    <t>a) de 0,15 m de espesor: ayudante</t>
  </si>
  <si>
    <t>b) de 0,30 m de espesor: ayudante</t>
  </si>
  <si>
    <t>Demolición de paredes de ladrillos huecos,</t>
  </si>
  <si>
    <t>a) de 0,10 m de espesor: ayudante</t>
  </si>
  <si>
    <t>b) de 0,15 m de espesor: ayudante</t>
  </si>
  <si>
    <t>c) de 0,20 m de espesor: ayudante</t>
  </si>
  <si>
    <t>Demolición de cimientos de mampostería,</t>
  </si>
  <si>
    <r>
      <t>a mano, por m3:</t>
    </r>
    <r>
      <rPr>
        <sz val="12"/>
        <color indexed="21"/>
        <rFont val="MS Serif"/>
        <family val="1"/>
      </rPr>
      <t xml:space="preserve"> ayudante</t>
    </r>
  </si>
  <si>
    <t>Demolición de dinteles y encadenados de H° A°,</t>
  </si>
  <si>
    <t>Apertura de vanos en mampostería maciza,</t>
  </si>
  <si>
    <t>de 1 a 3 m2, a mano, por m2:</t>
  </si>
  <si>
    <t>Apertura de vanos en paredes de ladrillos</t>
  </si>
  <si>
    <t>huecos, de 0,50 a 3 m2, a mano, por m2:</t>
  </si>
  <si>
    <t>Apertura de vanos en tabiques H° A°, de 0,10 m</t>
  </si>
  <si>
    <r>
      <t>de espesor, a mano, por m2:</t>
    </r>
    <r>
      <rPr>
        <sz val="12"/>
        <color indexed="21"/>
        <rFont val="MS Serif"/>
        <family val="1"/>
      </rPr>
      <t xml:space="preserve"> ayudante</t>
    </r>
  </si>
  <si>
    <t>Apertura de vanos pequeños en mampostería</t>
  </si>
  <si>
    <t>maciza, de 0,50 a 1 m2 (tamaños menores consultar</t>
  </si>
  <si>
    <t>3.1 a 3.3), a mano, por m2:</t>
  </si>
  <si>
    <t>Demolición de entrepiso de viguetas y ladrillos</t>
  </si>
  <si>
    <r>
      <t xml:space="preserve">cerámicos, a mano, por m2: </t>
    </r>
    <r>
      <rPr>
        <sz val="12"/>
        <color indexed="21"/>
        <rFont val="MS Serif"/>
        <family val="1"/>
      </rPr>
      <t>ayudante</t>
    </r>
  </si>
  <si>
    <t>Demolición de losas de H° A° de poca extensión</t>
  </si>
  <si>
    <r>
      <t>de 0,10 m de espesor, a mano, por m2:</t>
    </r>
    <r>
      <rPr>
        <sz val="12"/>
        <color indexed="21"/>
        <rFont val="MS Serif"/>
        <family val="1"/>
      </rPr>
      <t xml:space="preserve"> ayudante</t>
    </r>
  </si>
  <si>
    <t>Demolición de contrapisos de hormigón de</t>
  </si>
  <si>
    <t>cascotes, de 0,12 m de espesor, a mano, por m2:</t>
  </si>
  <si>
    <t xml:space="preserve">Demolición de pisos de mosaicos, </t>
  </si>
  <si>
    <r>
      <t>a mano, por m2:</t>
    </r>
    <r>
      <rPr>
        <sz val="12"/>
        <color indexed="21"/>
        <rFont val="MS Serif"/>
        <family val="1"/>
      </rPr>
      <t xml:space="preserve"> ayudante</t>
    </r>
  </si>
  <si>
    <t>Extracción de aberturas, a mano,</t>
  </si>
  <si>
    <r>
      <t>por abertura:</t>
    </r>
    <r>
      <rPr>
        <sz val="12"/>
        <color indexed="21"/>
        <rFont val="MS Serif"/>
        <family val="1"/>
      </rPr>
      <t xml:space="preserve"> ayudante</t>
    </r>
  </si>
  <si>
    <t xml:space="preserve">Demolición de revoques a la cal, azulejos, etc, </t>
  </si>
  <si>
    <r>
      <t xml:space="preserve">a mano, por m2: </t>
    </r>
    <r>
      <rPr>
        <sz val="12"/>
        <color indexed="21"/>
        <rFont val="MS Serif"/>
        <family val="1"/>
      </rPr>
      <t>ayudante</t>
    </r>
  </si>
  <si>
    <t>Demolición de revoques de cemento,</t>
  </si>
  <si>
    <t>Traslado de escombros en baldes (2) o canastos</t>
  </si>
  <si>
    <t>(1), medido suelto (distancia 10 m), por m3:</t>
  </si>
  <si>
    <t>Idem anterior en carretillas, (distancia 30 m)</t>
  </si>
  <si>
    <r>
      <t xml:space="preserve">por m3: </t>
    </r>
    <r>
      <rPr>
        <sz val="12"/>
        <color indexed="21"/>
        <rFont val="MS Serif"/>
        <family val="1"/>
      </rPr>
      <t>ayudante</t>
    </r>
  </si>
  <si>
    <t xml:space="preserve">Carga de escombros sobre camión o volquete, </t>
  </si>
  <si>
    <t>4 - Demolición con Equipos Mecánicos Portátiles</t>
  </si>
  <si>
    <t>Perforación con rotopercutora portátil; por cada</t>
  </si>
  <si>
    <t>a) De muros de mampostería maciza de 0,15 m de</t>
  </si>
  <si>
    <r>
      <t xml:space="preserve">espesor, orificio de Ø 2 cm: </t>
    </r>
    <r>
      <rPr>
        <sz val="12"/>
        <color indexed="21"/>
        <rFont val="MS Serif"/>
        <family val="1"/>
      </rPr>
      <t>oficial</t>
    </r>
  </si>
  <si>
    <t>b) De muros de mampostería maciza de 0,30 m de</t>
  </si>
  <si>
    <r>
      <t xml:space="preserve">espesor, orificio Ø 2 cm: </t>
    </r>
    <r>
      <rPr>
        <sz val="12"/>
        <color indexed="21"/>
        <rFont val="MS Serif"/>
        <family val="1"/>
      </rPr>
      <t>oficial</t>
    </r>
  </si>
  <si>
    <t>Ejecución de canaletas con acanaladora mecánica,</t>
  </si>
  <si>
    <t>por metro lineal;</t>
  </si>
  <si>
    <t>a) Canaletas de 5 x 5 cm en mampostería maciza;</t>
  </si>
  <si>
    <t xml:space="preserve">b) Canaletas de 5 x 5 en mampostería de </t>
  </si>
  <si>
    <r>
      <t>ladrillos huecos:</t>
    </r>
    <r>
      <rPr>
        <sz val="12"/>
        <color indexed="21"/>
        <rFont val="MS Serif"/>
        <family val="1"/>
      </rPr>
      <t xml:space="preserve"> oficial</t>
    </r>
  </si>
  <si>
    <t xml:space="preserve">Demolición de muros con martillo picador </t>
  </si>
  <si>
    <t>por m2:</t>
  </si>
  <si>
    <t xml:space="preserve">a) Muros de mampostería maciza de 0,15 m de </t>
  </si>
  <si>
    <r>
      <t>espesor:</t>
    </r>
    <r>
      <rPr>
        <sz val="12"/>
        <color indexed="21"/>
        <rFont val="MS Serif"/>
        <family val="1"/>
      </rPr>
      <t xml:space="preserve"> ayudante</t>
    </r>
  </si>
  <si>
    <t xml:space="preserve">b) Muros de mampostería maciza de 0,30 m </t>
  </si>
  <si>
    <r>
      <t>de espesor:</t>
    </r>
    <r>
      <rPr>
        <sz val="12"/>
        <color indexed="21"/>
        <rFont val="MS Serif"/>
        <family val="1"/>
      </rPr>
      <t xml:space="preserve"> ayudante</t>
    </r>
  </si>
  <si>
    <t>c) Muros de ladrillos huecos de 0,20 m de espesor:</t>
  </si>
  <si>
    <t>Demoliciones con martillo rompepavimento</t>
  </si>
  <si>
    <t>mecánico;</t>
  </si>
  <si>
    <t>a) Cimientos de mampostería; por m3:</t>
  </si>
  <si>
    <t>b) Contrapisos de hormigón pobre; por m2:</t>
  </si>
  <si>
    <t>c) Pavimentos hormigón simple, hasta 10 cm</t>
  </si>
  <si>
    <r>
      <t xml:space="preserve">de espesor; por m2: </t>
    </r>
    <r>
      <rPr>
        <sz val="12"/>
        <color indexed="21"/>
        <rFont val="MS Serif"/>
        <family val="1"/>
      </rPr>
      <t>ayudante</t>
    </r>
  </si>
  <si>
    <t>d) Pavimentos hormigón simple de 11 a 15 cm</t>
  </si>
  <si>
    <r>
      <t>de espesor; por m2:</t>
    </r>
    <r>
      <rPr>
        <sz val="12"/>
        <color indexed="21"/>
        <rFont val="MS Serif"/>
        <family val="1"/>
      </rPr>
      <t xml:space="preserve"> ayudante</t>
    </r>
  </si>
  <si>
    <t>e) Pavimentos hormigón armado, hasta 10 cm</t>
  </si>
  <si>
    <t>e)</t>
  </si>
  <si>
    <t>f) Pavimentos hormigón armado, de 11 a 15 cm</t>
  </si>
  <si>
    <t>f)</t>
  </si>
  <si>
    <t>g) Tabiques de hormigón armado, espesor 10 cm;</t>
  </si>
  <si>
    <r>
      <t>por m2:</t>
    </r>
    <r>
      <rPr>
        <sz val="12"/>
        <color indexed="21"/>
        <rFont val="MS Serif"/>
        <family val="1"/>
      </rPr>
      <t xml:space="preserve"> ayudante</t>
    </r>
  </si>
  <si>
    <t>g)</t>
  </si>
  <si>
    <t>h) Losas de hormigón armado, espesor 10 cm;</t>
  </si>
  <si>
    <t>h)</t>
  </si>
  <si>
    <t>i) Vigas de hormigón armado; por m3:</t>
  </si>
  <si>
    <t>i)</t>
  </si>
  <si>
    <t>j) Pavimentos adoquinados o empedrados; por m2:</t>
  </si>
  <si>
    <t>j)</t>
  </si>
  <si>
    <t>k) Pavimentos de macadam o capa asfáltica; por m2:</t>
  </si>
  <si>
    <t>k)</t>
  </si>
  <si>
    <t>l) Edificaciones completas en elevación hasta 6 m</t>
  </si>
  <si>
    <t>aisladas, con paredes de mampostería; por m3 global:</t>
  </si>
  <si>
    <t>l)</t>
  </si>
  <si>
    <t xml:space="preserve">5 - Andamios, Vallados y Protecciones </t>
  </si>
  <si>
    <t xml:space="preserve">Armado de andamios para ejecución de cielo rasos, </t>
  </si>
  <si>
    <t>incluso desarme, por m2 de cielo rasos:</t>
  </si>
  <si>
    <t xml:space="preserve">Andamios metálicos de módulos encastrables, </t>
  </si>
  <si>
    <t xml:space="preserve">armado y desarme (excluyendo alquiler o </t>
  </si>
  <si>
    <t>amortización), incluso colocación y movimiento</t>
  </si>
  <si>
    <t>de tablones, por m2:</t>
  </si>
  <si>
    <t xml:space="preserve">Andamio de tubos metálicos y nudos, armado y </t>
  </si>
  <si>
    <t>desarme (excluyendo alquiler o amortización), incluso</t>
  </si>
  <si>
    <t>colocación y movimiento de tablones, por m2:</t>
  </si>
  <si>
    <t xml:space="preserve">Andamios de madera pesados (ej: para ladrillos), </t>
  </si>
  <si>
    <t xml:space="preserve">armado y desarme, incluso colocación y movimiento </t>
  </si>
  <si>
    <t>Andamios de madera livianos (ej: revoques o tabi-</t>
  </si>
  <si>
    <t>ques de ladrillos huecos), armado y desarme, incluso co-</t>
  </si>
  <si>
    <t>locación y movimiento de tablones, por m2:</t>
  </si>
  <si>
    <t>Tendido de malla plástica para protección de</t>
  </si>
  <si>
    <t>fachadas, fijada a los andamios, por m2:</t>
  </si>
  <si>
    <t>malla plástica (3,06x50 m)</t>
  </si>
  <si>
    <t>pr-01</t>
  </si>
  <si>
    <t xml:space="preserve">Pantalla protectora, en voladizo, armado de costillas </t>
  </si>
  <si>
    <t>y tapiado, por metro lineal de fachada:</t>
  </si>
  <si>
    <t>Cerco de obra metálico (excluyendo alquiler o</t>
  </si>
  <si>
    <t>amortización), colocación de postes cada 2,50 m y</t>
  </si>
  <si>
    <t>montaje de tableros metálicos, por metro lineal:</t>
  </si>
  <si>
    <t>Cerco de obra de madera (considerando 100%</t>
  </si>
  <si>
    <t>amortización madera), alto 2 m, puntales 3x3 cada 2 m</t>
  </si>
  <si>
    <t>y tablas (BTO) de 1”, por metro lineal:</t>
  </si>
  <si>
    <t>madera esp 1”</t>
  </si>
  <si>
    <t>md-02</t>
  </si>
  <si>
    <t>clavos</t>
  </si>
  <si>
    <t>ef-01</t>
  </si>
  <si>
    <t>6 - Instalaciones de Obradores</t>
  </si>
  <si>
    <t>Código de Precios</t>
  </si>
  <si>
    <r>
      <t>Notas: I)</t>
    </r>
    <r>
      <rPr>
        <sz val="10"/>
        <rFont val="Arial"/>
        <family val="0"/>
      </rPr>
      <t xml:space="preserve"> Nivelación del terreno, cerco perimetral, desagües cloacales, tanque elevado, red de agua,</t>
    </r>
  </si>
  <si>
    <t>Instalación de casilla dormitorio u oficinas:</t>
  </si>
  <si>
    <t xml:space="preserve"> red eléctrica, galpones metálicos para depósitos, correspondientes a obradores, no son susceptibles</t>
  </si>
  <si>
    <t>Materiales: Contrapiso hormigón pobre 0,10 m esp.;</t>
  </si>
  <si>
    <t>de dimensionar en relación con cantidad de operarios u otra forma de estandarización, pues dependen</t>
  </si>
  <si>
    <t xml:space="preserve">piso de cemento rodillado 1,5 cm esp.; paredes </t>
  </si>
  <si>
    <t>de las características propias de cada obrador y tipo de obra, por lo tanto sus costos</t>
  </si>
  <si>
    <t>con tirantes 3"x3" en vertical y 2"x3" en horizontal,</t>
  </si>
  <si>
    <t>se analizarán para cada caso en particular.</t>
  </si>
  <si>
    <t>tablas 3/4" x 5" superpuestas en el exterior y chapadur</t>
  </si>
  <si>
    <t xml:space="preserve">3.4 mm en el interior; aislación poliestireno expandido </t>
  </si>
  <si>
    <r>
      <t>II)</t>
    </r>
    <r>
      <rPr>
        <sz val="10"/>
        <rFont val="Arial"/>
        <family val="0"/>
      </rPr>
      <t xml:space="preserve"> Superficies cubiertas mínimas requeridas:</t>
    </r>
  </si>
  <si>
    <t>4 cm; techo de chapas onduladas sobre listones 2"x2",</t>
  </si>
  <si>
    <t>• casillas de dormitorios individuales con baño privado y kitchenet............................7,50 m2/usuario</t>
  </si>
  <si>
    <t xml:space="preserve">poliestireno expandido 4 cm; fieltro asfáltico, tablas </t>
  </si>
  <si>
    <t>• casilla dormitorio para operarios con 2 camas simples por habitación.................... 3,40 m2/operario</t>
  </si>
  <si>
    <t>BTO 3/4", correas 2"x4" apoyadas sobre los puntales</t>
  </si>
  <si>
    <t>• casilla dormitorio para operarios con 4 camas p/habitación  (superpuestas de a 2)..1,90 m2/operario</t>
  </si>
  <si>
    <t>de las paredes.</t>
  </si>
  <si>
    <t>• casilla comedor.................................................................................................0,85 m2/operario</t>
  </si>
  <si>
    <t>Disposición: Pasillo central; habitaciones de 2,30x2,20m</t>
  </si>
  <si>
    <t>• casilla cocina....................................................................................................0,50 m2/operario</t>
  </si>
  <si>
    <t>para 2 operarios por habitación con camas simples ó de</t>
  </si>
  <si>
    <t>• vestuarios (eventual) .........................................................................................0,60 m2/operario</t>
  </si>
  <si>
    <t xml:space="preserve">2,35x2,40m para 4 operarios por habitación con camas </t>
  </si>
  <si>
    <t>• oficinas (2 empleados por oficina) .....................................................................4,20 m2/empleado</t>
  </si>
  <si>
    <t>dobles.</t>
  </si>
  <si>
    <t>• sanitarios: retretes y mingitorios .......................................................................0,33 m2/operario</t>
  </si>
  <si>
    <t>Observaciones: No se incluyen muebles ni pintura.</t>
  </si>
  <si>
    <t>• sanitarios: duchas y lavabos ............................................................................0,43 m2/operario</t>
  </si>
  <si>
    <t>a) Instalación de casilla dormitorio u oficinas, por m2</t>
  </si>
  <si>
    <t>• sanitarios: retretes, mingitorios, duchas y lavabos .............................................0,72 m2/operario</t>
  </si>
  <si>
    <r>
      <t>de superficie cubierta:</t>
    </r>
    <r>
      <rPr>
        <sz val="12"/>
        <color indexed="21"/>
        <rFont val="MS Serif"/>
        <family val="1"/>
      </rPr>
      <t xml:space="preserve"> cemento</t>
    </r>
  </si>
  <si>
    <t>cal hidráulica</t>
  </si>
  <si>
    <r>
      <t>III)</t>
    </r>
    <r>
      <rPr>
        <sz val="10"/>
        <rFont val="Arial"/>
        <family val="0"/>
      </rPr>
      <t xml:space="preserve"> Cantidad de sanitarios para obradores dormitorio:</t>
    </r>
  </si>
  <si>
    <t>arena fina</t>
  </si>
  <si>
    <t>ar-03</t>
  </si>
  <si>
    <t>• 1 retrete cada 8 operarios</t>
  </si>
  <si>
    <t>cascotes</t>
  </si>
  <si>
    <t>ar-06</t>
  </si>
  <si>
    <t>• 0,55 m de mingitorio de pared cada 6 operarios</t>
  </si>
  <si>
    <t>madera (medida en 1" espesor)</t>
  </si>
  <si>
    <t>• 0,50 m de piletón-lavabo cada 4 operarios</t>
  </si>
  <si>
    <t>chapadur 4,3 mm</t>
  </si>
  <si>
    <t>md-04</t>
  </si>
  <si>
    <t>• 1 ducha cada 6 operarios</t>
  </si>
  <si>
    <t>xa-08</t>
  </si>
  <si>
    <t>7,50</t>
  </si>
  <si>
    <t>m2/usuario</t>
  </si>
  <si>
    <t>ventanas con sus vidrios</t>
  </si>
  <si>
    <t>u</t>
  </si>
  <si>
    <t>ab-01</t>
  </si>
  <si>
    <t>puertas</t>
  </si>
  <si>
    <t>ab-02</t>
  </si>
  <si>
    <t>fieltro asfáltico</t>
  </si>
  <si>
    <t>as-01</t>
  </si>
  <si>
    <t>chapas onduladas</t>
  </si>
  <si>
    <t>ch-01</t>
  </si>
  <si>
    <t>clavos cabeza de plomo</t>
  </si>
  <si>
    <t>ef-06</t>
  </si>
  <si>
    <t>poliestireno exp. 4 cm espesor</t>
  </si>
  <si>
    <t>ai-01</t>
  </si>
  <si>
    <t xml:space="preserve">b) Desarme y carga sobre camión, por m2 de </t>
  </si>
  <si>
    <r>
      <t>superficie cubierta:</t>
    </r>
    <r>
      <rPr>
        <sz val="12"/>
        <color indexed="21"/>
        <rFont val="MS Serif"/>
        <family val="1"/>
      </rPr>
      <t xml:space="preserve"> ayudante</t>
    </r>
  </si>
  <si>
    <t>Instalación de casilla para comedor:</t>
  </si>
  <si>
    <t xml:space="preserve">Materiales: similar a 6.1; cabriadas sencillas construidas </t>
  </si>
  <si>
    <t>con tablas clavadas.</t>
  </si>
  <si>
    <t>a) Instalación de casilla para comedor, por m2 de</t>
  </si>
  <si>
    <r>
      <t xml:space="preserve">superficie cubierta: </t>
    </r>
    <r>
      <rPr>
        <sz val="12"/>
        <color indexed="21"/>
        <rFont val="MS Serif"/>
        <family val="1"/>
      </rPr>
      <t>cemento kg</t>
    </r>
  </si>
  <si>
    <t>b) Desarme y carga sobre camión, por m2 de superficie</t>
  </si>
  <si>
    <r>
      <t>cubierta:</t>
    </r>
    <r>
      <rPr>
        <sz val="12"/>
        <color indexed="21"/>
        <rFont val="MS Serif"/>
        <family val="1"/>
      </rPr>
      <t xml:space="preserve"> ayudante</t>
    </r>
  </si>
  <si>
    <t>Instalación de casilla para vestuarios o cocina:</t>
  </si>
  <si>
    <t>Materiales: Similar al 6.1 pero sin aislación de poliesti-</t>
  </si>
  <si>
    <t>reno expandido ni chapadur interior en paredes.</t>
  </si>
  <si>
    <t>a) Instalación de casilla para vestuarios o cocina, por</t>
  </si>
  <si>
    <r>
      <t xml:space="preserve">m2 de superficie cubierta: </t>
    </r>
    <r>
      <rPr>
        <sz val="12"/>
        <color indexed="21"/>
        <rFont val="MS Serif"/>
        <family val="1"/>
      </rPr>
      <t>cemento</t>
    </r>
  </si>
  <si>
    <t>Barraca para depósito:</t>
  </si>
  <si>
    <t>Materiales: Contrapiso de hormigón pobre reforzado;</t>
  </si>
  <si>
    <t>paredes de tirantes 3"x3" y travesaños 2"x3", tablas 3/4"</t>
  </si>
  <si>
    <t>y 5" superpuestas; techo de chapas onduladas sobre co-</t>
  </si>
  <si>
    <t>rreas 2"x2", cabios 2"x4" y cabriada construida con tablas.</t>
  </si>
  <si>
    <t>Disposición: Superficies mayores a 20 m2</t>
  </si>
  <si>
    <t>a) Instalación barraca para depósito, por m2 de</t>
  </si>
  <si>
    <r>
      <t>superficie cubierta:</t>
    </r>
    <r>
      <rPr>
        <sz val="12"/>
        <color indexed="21"/>
        <rFont val="MS Serif"/>
        <family val="1"/>
      </rPr>
      <t xml:space="preserve"> cemento</t>
    </r>
  </si>
  <si>
    <t>madera (medida en 1" de espesor)</t>
  </si>
  <si>
    <t>Local para sanitarios: Conjunto para retretes, mingi-</t>
  </si>
  <si>
    <t>torios, lavabos y duchas.</t>
  </si>
  <si>
    <t>Materiales: Banquina hasta 0,70 m de prof. para cimien-</t>
  </si>
  <si>
    <t xml:space="preserve">tos; paredes altura 2,30 m: perimetrales de 0,15 m esp., </t>
  </si>
  <si>
    <t xml:space="preserve">interiores ladrillos huecos 0,10 m esp.; revoque alisado </t>
  </si>
  <si>
    <t>interior hasta 2 m; contrapiso hormigón pobre; piso ce-</t>
  </si>
  <si>
    <t xml:space="preserve">mento rodillado con pendientes; puertas sólo en retretes; </t>
  </si>
  <si>
    <t>instalaciones sanitarias corrientes en PVC hasta cámara de</t>
  </si>
  <si>
    <t xml:space="preserve">inspección; inodoros a la turca; agua fría y caliente; techo </t>
  </si>
  <si>
    <t>de chapa ondulada sobre tirantería de madera.</t>
  </si>
  <si>
    <t>Disposición: Para un mínimo de 8 operarios.</t>
  </si>
  <si>
    <t>Observaciones: Cámara de inspección y termotanque,</t>
  </si>
  <si>
    <t>agregar cantidad 1 en todos los casos.</t>
  </si>
  <si>
    <t xml:space="preserve">a) Construcción local para sanitarios incluido estos, </t>
  </si>
  <si>
    <t>por m2 de superficie cubierta:</t>
  </si>
  <si>
    <t>cemento</t>
  </si>
  <si>
    <t>ladrillos comunes</t>
  </si>
  <si>
    <t>ld-01</t>
  </si>
  <si>
    <t>ladrillos huecos 8x15x20</t>
  </si>
  <si>
    <t>ld-03</t>
  </si>
  <si>
    <t>puertas retretes</t>
  </si>
  <si>
    <t>ab-03</t>
  </si>
  <si>
    <t>inodoro a la turca con depósito</t>
  </si>
  <si>
    <t>sn-01</t>
  </si>
  <si>
    <t>caños PVC 0,100</t>
  </si>
  <si>
    <t>m</t>
  </si>
  <si>
    <t>sn-02</t>
  </si>
  <si>
    <t>caños agua fría ø 1 1/2</t>
  </si>
  <si>
    <t>sn-03</t>
  </si>
  <si>
    <t>caños agua fría ø 1"</t>
  </si>
  <si>
    <t>sn-04</t>
  </si>
  <si>
    <t>caños agua caliente ø 1 1/2</t>
  </si>
  <si>
    <t>sn-05</t>
  </si>
  <si>
    <t>caños agua caliente ø 1"</t>
  </si>
  <si>
    <t>sn-06</t>
  </si>
  <si>
    <t>accesorios ø 1 1/2</t>
  </si>
  <si>
    <t>sn-07</t>
  </si>
  <si>
    <t>accesorios ø 1"</t>
  </si>
  <si>
    <t>sn-08</t>
  </si>
  <si>
    <t>llaves de paso 3/4"</t>
  </si>
  <si>
    <t>sn-09</t>
  </si>
  <si>
    <t>b) Demolición local para sanitarios, por m2 de superficie</t>
  </si>
  <si>
    <t>7 - Cimientos de Albañilería</t>
  </si>
  <si>
    <t xml:space="preserve">Zapata de hormigón pobre (cascotes), profundidad </t>
  </si>
  <si>
    <t>aproximada 1,50 m, elaborado en hormigonera de</t>
  </si>
  <si>
    <t>150 litros, traslado en carretillas a una distancia de 30 m</t>
  </si>
  <si>
    <t>y volcado en la excavación, por m3:</t>
  </si>
  <si>
    <t>a) Mezcla 1/2 : 1 : 3 : 6 (cemento, cal hidráulica en</t>
  </si>
  <si>
    <t>polvo, arena fina con humedad natural y cascotes):</t>
  </si>
  <si>
    <t>cemento normal</t>
  </si>
  <si>
    <t>kg</t>
  </si>
  <si>
    <t>b) Idem anterior, mezcla 3/4 : 1 : 3 : 6:</t>
  </si>
  <si>
    <t xml:space="preserve">c) Idem anterior pero con mezcla 1 1/2 : 3 : 6 (cemento </t>
  </si>
  <si>
    <t>de albañilería, arena fina humedad natural, cascotes):</t>
  </si>
  <si>
    <t>cemento de albañilería</t>
  </si>
  <si>
    <t>ag-03</t>
  </si>
  <si>
    <t>d) Idem anterior, con mezcla 1 : 4 : 5:</t>
  </si>
  <si>
    <t>Zapata de hormigón simple, profundidad aprox.</t>
  </si>
  <si>
    <t xml:space="preserve">1,50 m, elaborado en hormigonera de 150 litros, </t>
  </si>
  <si>
    <t xml:space="preserve">traslado en carretilla a una distancia de 30 m y volcado </t>
  </si>
  <si>
    <t>en la excavación, mezcla 1:2:3 (cemento, arena mediana,</t>
  </si>
  <si>
    <t>piedra partida), por m3: cemento normal</t>
  </si>
  <si>
    <t>arena mediana</t>
  </si>
  <si>
    <t>ar-02</t>
  </si>
  <si>
    <t>piedra partida</t>
  </si>
  <si>
    <t>ar-05</t>
  </si>
  <si>
    <t>Zapata de hormigón armado con malla de</t>
  </si>
  <si>
    <t>4,2 x 15 x 15 (Q-92), espesor de zapata 20 cm, tipo de</t>
  </si>
  <si>
    <t xml:space="preserve">hormigón y condiciones de elaboración idem anterior, </t>
  </si>
  <si>
    <r>
      <t>por m3:</t>
    </r>
    <r>
      <rPr>
        <sz val="12"/>
        <color indexed="21"/>
        <rFont val="MS Serif"/>
        <family val="1"/>
      </rPr>
      <t xml:space="preserve"> cemento normal</t>
    </r>
  </si>
  <si>
    <t>malla</t>
  </si>
  <si>
    <t>ac-01</t>
  </si>
  <si>
    <t>Zapata de hormigón masivo (piedra bola hasta 60</t>
  </si>
  <si>
    <t xml:space="preserve">mm), sin armar, elaborado en hormigonera de 250 litros, </t>
  </si>
  <si>
    <t>traslado en carretillas a una distancia de 30 m y volcado</t>
  </si>
  <si>
    <t>en la excavación, piedra bola mezclada con mortero</t>
  </si>
  <si>
    <t>1/4 : 1 : 4 (cemento, cal hidráulica, arena gruesa), por m3:</t>
  </si>
  <si>
    <t>arena gruesa</t>
  </si>
  <si>
    <t>ar-01</t>
  </si>
  <si>
    <t>piedra bola</t>
  </si>
  <si>
    <t>ar-07</t>
  </si>
  <si>
    <t>Zapata en mampostería, por m3:</t>
  </si>
  <si>
    <t>a) Mezcla 1/4 : 1 : 3 (cemento, cal hidráulica, arena fina):</t>
  </si>
  <si>
    <t>ladrillos</t>
  </si>
  <si>
    <t>b) Idem anterior, mezcla 1/8 : 1 : 5 (cemento, cemento</t>
  </si>
  <si>
    <r>
      <t xml:space="preserve">de albañilería, arena fina): </t>
    </r>
    <r>
      <rPr>
        <sz val="12"/>
        <color indexed="21"/>
        <rFont val="MS Serif"/>
        <family val="1"/>
      </rPr>
      <t>cemento normal</t>
    </r>
  </si>
  <si>
    <t>cemento albañilería</t>
  </si>
  <si>
    <t xml:space="preserve">Pilotines de hormigón armado (no incluye excavación), </t>
  </si>
  <si>
    <t xml:space="preserve">diámetro aprox. 20 cm, armados con 4 ø 10 y estribos 4,2 </t>
  </si>
  <si>
    <t xml:space="preserve">cada 20 cm, mezcla 1 : 1 1/2 : 2 1/2 (cemento, arena </t>
  </si>
  <si>
    <t>mediana, canto rodado),  por m3:</t>
  </si>
  <si>
    <t>canto rodado Dmax 20</t>
  </si>
  <si>
    <t>ar-04</t>
  </si>
  <si>
    <t>hierro</t>
  </si>
  <si>
    <t>ac-04</t>
  </si>
  <si>
    <t>Encadenado de hormigón armado sobre pilotines</t>
  </si>
  <si>
    <t>o sobre cimientos de mampostería, por m3:</t>
  </si>
  <si>
    <t xml:space="preserve">a) Mezcla 1 : 1 1/2 : 2 1/2 (cemento, arena mediana, </t>
  </si>
  <si>
    <r>
      <t xml:space="preserve">canto rodado): </t>
    </r>
    <r>
      <rPr>
        <sz val="12"/>
        <color indexed="21"/>
        <rFont val="MS Serif"/>
        <family val="1"/>
      </rPr>
      <t>cemento normal</t>
    </r>
  </si>
  <si>
    <t>canto rodado</t>
  </si>
  <si>
    <t>madera 1"</t>
  </si>
  <si>
    <t>alambre</t>
  </si>
  <si>
    <t>al-02</t>
  </si>
  <si>
    <t>b) Idem, mezcla 1 : 2 : 3 (cemento, arena mediana,</t>
  </si>
  <si>
    <r>
      <t xml:space="preserve">piedra partida): </t>
    </r>
    <r>
      <rPr>
        <sz val="12"/>
        <color indexed="21"/>
        <rFont val="MS Serif"/>
        <family val="1"/>
      </rPr>
      <t>cemento normal</t>
    </r>
  </si>
  <si>
    <t>Mampostería de cimientos, por m3:</t>
  </si>
  <si>
    <t xml:space="preserve">a) Mezcla 1/4 : 1 : 3 (cemento, cal hidráulica, </t>
  </si>
  <si>
    <r>
      <t xml:space="preserve">arena fina): </t>
    </r>
    <r>
      <rPr>
        <sz val="12"/>
        <color indexed="21"/>
        <rFont val="MS Serif"/>
        <family val="1"/>
      </rPr>
      <t>cemento normal</t>
    </r>
  </si>
  <si>
    <t>b) Mezcla 1/8 : 1 : 5 (cemento, cemento de</t>
  </si>
  <si>
    <r>
      <t xml:space="preserve">albañilería, arena fina): </t>
    </r>
    <r>
      <rPr>
        <sz val="12"/>
        <color indexed="21"/>
        <rFont val="MS Serif"/>
        <family val="1"/>
      </rPr>
      <t>cemento normal</t>
    </r>
  </si>
  <si>
    <t xml:space="preserve">Mampostería en submuraciones, mezcla </t>
  </si>
  <si>
    <t>1 : 1/2 : 4 (cemento, cal hidráulica, arena fina), por m3:</t>
  </si>
  <si>
    <t>Mampostería en sótanos, mezcla</t>
  </si>
  <si>
    <t>1/2 : 1 : 3 (cemento, cal hidráulica, arena fina), por m3:</t>
  </si>
  <si>
    <t>8 - Capas Aisladoras</t>
  </si>
  <si>
    <t>'Capa aisladora horizontal doble en pared de</t>
  </si>
  <si>
    <t>0,30 (incluye los 2 tramos verticales que unen ambas</t>
  </si>
  <si>
    <t xml:space="preserve">capas formando "cajón"), de concreto 1:3 con hidrófugo, </t>
  </si>
  <si>
    <t>por metro lineal:</t>
  </si>
  <si>
    <t>hidrófugo</t>
  </si>
  <si>
    <t>ad-01</t>
  </si>
  <si>
    <t>Idem anterior en paredes de 0,20 hueco ó</t>
  </si>
  <si>
    <t>0,15 macizo, por metro lineal:</t>
  </si>
  <si>
    <t>Aislación con concreto 1:3 hidrófugo bajo carpeta</t>
  </si>
  <si>
    <t>de asiento de pisos (espesor promedio 15 mm) por m2:</t>
  </si>
  <si>
    <t>Capa aisladora vertical de concreto 1:3 con</t>
  </si>
  <si>
    <t>hidrófugo, salpicado y planchado con cuchara, sobre</t>
  </si>
  <si>
    <t>ladrillo hueco, espesor promedio 8 mm, sin armado</t>
  </si>
  <si>
    <r>
      <t xml:space="preserve">de andamios, por m2:   </t>
    </r>
    <r>
      <rPr>
        <sz val="12"/>
        <color indexed="21"/>
        <rFont val="MS Serif"/>
        <family val="1"/>
      </rPr>
      <t>cemento</t>
    </r>
  </si>
  <si>
    <t>Variante: Idem anterior con el agregado de 2 manos</t>
  </si>
  <si>
    <t>de pintura asfáltica a pincel, por m2:</t>
  </si>
  <si>
    <t>pintura asfáltica</t>
  </si>
  <si>
    <t>as-02</t>
  </si>
  <si>
    <t>ladrillo común, espesor promedio 12 mm, sin armado</t>
  </si>
  <si>
    <t>de andamios, por m2:</t>
  </si>
  <si>
    <t>Capa aisladora vertical incluyendo tabique a</t>
  </si>
  <si>
    <t>panderete, concreto 1:3 con hidrófugo para la capa</t>
  </si>
  <si>
    <t>aisladora y mezcla 1/2:1:3 para el asiento de ladrillos, 2</t>
  </si>
  <si>
    <r>
      <t xml:space="preserve">manos pintura asfáltica, por m2: </t>
    </r>
    <r>
      <rPr>
        <sz val="12"/>
        <color indexed="17"/>
        <rFont val="MS Serif"/>
        <family val="1"/>
      </rPr>
      <t>cemento</t>
    </r>
  </si>
  <si>
    <t>Pintura asfáltica solamente, 2 manos, sobre</t>
  </si>
  <si>
    <t>superficie de losa o similar, vertical u horizontal, uso</t>
  </si>
  <si>
    <t>posible como barrera de vapor, por m2:</t>
  </si>
  <si>
    <t>Capa de asfalto en caliente sobre superficie semi-</t>
  </si>
  <si>
    <t>alisada existente, incluso 1 mano de pintura asfáltica</t>
  </si>
  <si>
    <t>para imprimación, por m2:</t>
  </si>
  <si>
    <t>a) En superficies horizontales, espesor promedio</t>
  </si>
  <si>
    <r>
      <t xml:space="preserve">del asfalto 15 mm: </t>
    </r>
    <r>
      <rPr>
        <sz val="12"/>
        <color indexed="21"/>
        <rFont val="MS Serif"/>
        <family val="1"/>
      </rPr>
      <t>asfalto en panes</t>
    </r>
  </si>
  <si>
    <t>as-03</t>
  </si>
  <si>
    <t>leña</t>
  </si>
  <si>
    <t>cb-02</t>
  </si>
  <si>
    <t>b) En superficies verticales, espesor promedio</t>
  </si>
  <si>
    <r>
      <t xml:space="preserve">del asfalto 6 mm: </t>
    </r>
    <r>
      <rPr>
        <sz val="12"/>
        <color indexed="21"/>
        <rFont val="MS Serif"/>
        <family val="1"/>
      </rPr>
      <t>asfalto en panes</t>
    </r>
  </si>
  <si>
    <t>9 - Mamposterías</t>
  </si>
  <si>
    <t>Nota: Armado de andamios ver Rubro "Andamios, vallados</t>
  </si>
  <si>
    <t>y protecciones" (Hoja 305.000)</t>
  </si>
  <si>
    <t>Tomado de juntas ver Rubro "Revoques" (Hoja 319.000)</t>
  </si>
  <si>
    <t>Mampostería de 0,30, ladrillos comunes en</t>
  </si>
  <si>
    <t>elevación, mezcla 1/8 : 1 : 3, por m2:</t>
  </si>
  <si>
    <t>Mampostería de 0,30, ladrillos vista en</t>
  </si>
  <si>
    <t>ladrillos vista</t>
  </si>
  <si>
    <t>ld-02</t>
  </si>
  <si>
    <t>Mampostería de 0,15, ladrillos comunes en</t>
  </si>
  <si>
    <t>Mampostería de 0,15, ladrillos vista en</t>
  </si>
  <si>
    <t>Tabique de panderete, ladrillos comunes, mezcla</t>
  </si>
  <si>
    <t>1/2 : 1 : 3 1/2, por m2:</t>
  </si>
  <si>
    <t>relleno, desmoronables, con entibado, hasta 3 m de</t>
  </si>
  <si>
    <t>Tabique de 0,10 con ladrillos huecos 8 x 15 x 20,</t>
  </si>
  <si>
    <t>mezcla 1/2 : 1 : 3 : 1, por m2:</t>
  </si>
  <si>
    <r>
      <t>a) en paños pequeños:</t>
    </r>
    <r>
      <rPr>
        <sz val="12"/>
        <color indexed="21"/>
        <rFont val="MS Serif"/>
        <family val="1"/>
      </rPr>
      <t xml:space="preserve"> cemento</t>
    </r>
  </si>
  <si>
    <t>polvo de ladrillos</t>
  </si>
  <si>
    <t>ar-08</t>
  </si>
  <si>
    <t>ladrillos 8 x 15 x 20</t>
  </si>
  <si>
    <r>
      <t>b) en paños extensos:</t>
    </r>
    <r>
      <rPr>
        <sz val="12"/>
        <color indexed="21"/>
        <rFont val="MS Serif"/>
        <family val="1"/>
      </rPr>
      <t xml:space="preserve"> cemento</t>
    </r>
  </si>
  <si>
    <t>Tabique de 0,10 con ladrillos huecos 8 x 18 x 25,</t>
  </si>
  <si>
    <r>
      <t xml:space="preserve">mezcla 1/2 : 1 : 3 : 1, por m2: </t>
    </r>
    <r>
      <rPr>
        <sz val="12"/>
        <color indexed="21"/>
        <rFont val="MS Serif"/>
        <family val="1"/>
      </rPr>
      <t>cemento</t>
    </r>
  </si>
  <si>
    <t>ladrillos 8 x 18 x 25</t>
  </si>
  <si>
    <t>ld-04</t>
  </si>
  <si>
    <t>Tabique de 0,10 con ladrillos huecos 8 x 18 x 33,</t>
  </si>
  <si>
    <r>
      <t>mezcla 1/2 : 1 : 3 : 1, por m2:</t>
    </r>
    <r>
      <rPr>
        <sz val="12"/>
        <color indexed="21"/>
        <rFont val="MS Serif"/>
        <family val="1"/>
      </rPr>
      <t xml:space="preserve"> cemento</t>
    </r>
  </si>
  <si>
    <t>ladrillos 8 x 18 x 33</t>
  </si>
  <si>
    <t>ld-05</t>
  </si>
  <si>
    <t>Mampostería de 0,15 con ladrillos huecos</t>
  </si>
  <si>
    <t>12 x 18 x 25, mezcla 1/2 : 1 : 3 : 1, por m2:</t>
  </si>
  <si>
    <t>ladrillos 12 x 18 x 25</t>
  </si>
  <si>
    <t>ld-06</t>
  </si>
  <si>
    <t>12 x 18 x 33, mezcla 1/2 : 1 : 3 : 1, por m2:</t>
  </si>
  <si>
    <t>ladrillos 12 x 18 x 33</t>
  </si>
  <si>
    <t>ld-07</t>
  </si>
  <si>
    <t>Mampostería de 0,21 con ladrillos huecos</t>
  </si>
  <si>
    <t>18 x 18 x 33, mezcla 1/2 : 1 : 3 : 1, por m2:</t>
  </si>
  <si>
    <t>ladrillos 18 x 18 x 33</t>
  </si>
  <si>
    <t>ld-08</t>
  </si>
  <si>
    <t>18 x 18 x 40, mezcla 1/2 : 1 : 3 : 1, por m2:</t>
  </si>
  <si>
    <t>ladrillos 18 x 18 x 40</t>
  </si>
  <si>
    <t>ld-09</t>
  </si>
  <si>
    <t>'portantes, 12 x 19 x 40, mezcla 1/2 : 1 : 3 : 1, por m2:</t>
  </si>
  <si>
    <t>ladr. portantes 12 x 19 x 40</t>
  </si>
  <si>
    <t>ld-10</t>
  </si>
  <si>
    <t>portantes, 18 x 19 x 40, mezcla 1/2 : 1 : 3 : 1, por m2:</t>
  </si>
  <si>
    <t>ladr. portantes 18 x 19 x 40</t>
  </si>
  <si>
    <t>ld-11</t>
  </si>
  <si>
    <t>portantes 12 x 19 x 40, mezcla con cemento de</t>
  </si>
  <si>
    <r>
      <t>albañilería 1:4, por m2:</t>
    </r>
    <r>
      <rPr>
        <sz val="12"/>
        <color indexed="21"/>
        <rFont val="MS Serif"/>
        <family val="1"/>
      </rPr>
      <t xml:space="preserve"> cemento de albañilería</t>
    </r>
  </si>
  <si>
    <t>portantes de 12 x 19 x 50, mezcla con cemento de</t>
  </si>
  <si>
    <r>
      <t>albañilería 1:4, por m2</t>
    </r>
    <r>
      <rPr>
        <sz val="12"/>
        <color indexed="21"/>
        <rFont val="MS Serif"/>
        <family val="1"/>
      </rPr>
      <t>: cemento de albañilería</t>
    </r>
  </si>
  <si>
    <t>ladr. portantes 12 x 19 x 50</t>
  </si>
  <si>
    <t>ld-12</t>
  </si>
  <si>
    <t>portantes de 12 x 24 x 50, mezcla con cemento de</t>
  </si>
  <si>
    <t>ladr. portantes 12 x 24 x 50</t>
  </si>
  <si>
    <t>ld-13</t>
  </si>
  <si>
    <t>portantes de 18 x 19 x 40, mezcla con cemento de</t>
  </si>
  <si>
    <t>portantes de 18 x 19 x 50, mezcla con cemento de</t>
  </si>
  <si>
    <t>ladr. portantes 18 x 19 x 50</t>
  </si>
  <si>
    <t>ld-15</t>
  </si>
  <si>
    <t>portantes de 18 x 24 x 50, mezcla con cemento de</t>
  </si>
  <si>
    <r>
      <t xml:space="preserve">albañilería 1:4, por m2: </t>
    </r>
    <r>
      <rPr>
        <sz val="12"/>
        <color indexed="21"/>
        <rFont val="MS Serif"/>
        <family val="1"/>
      </rPr>
      <t>cemento de albañilería</t>
    </r>
  </si>
  <si>
    <t>ladr. portantes 18 x 24 x 50</t>
  </si>
  <si>
    <t>ld-16</t>
  </si>
  <si>
    <t>Mampostería de 0,11 de bloques de hormigón</t>
  </si>
  <si>
    <t>de 9,2 x 19 x 39, mezcla con cemento de albañilería</t>
  </si>
  <si>
    <r>
      <t xml:space="preserve">1:4, por m2: </t>
    </r>
    <r>
      <rPr>
        <sz val="12"/>
        <color indexed="21"/>
        <rFont val="MS Serif"/>
        <family val="1"/>
      </rPr>
      <t>cemento de albañilería</t>
    </r>
  </si>
  <si>
    <t>bloques 9,2 x 19 x 39</t>
  </si>
  <si>
    <t>ld-17</t>
  </si>
  <si>
    <t>Mampostería de 0,16 de bloques de hormigón</t>
  </si>
  <si>
    <t>de 14,2 x 19 x 39, mezcla con cemento de albañilería</t>
  </si>
  <si>
    <r>
      <t>1:4, por m2:</t>
    </r>
    <r>
      <rPr>
        <sz val="12"/>
        <color indexed="21"/>
        <rFont val="MS Serif"/>
        <family val="1"/>
      </rPr>
      <t xml:space="preserve"> cemento de albañilería</t>
    </r>
  </si>
  <si>
    <t>bloques 14,2 x 19 x 39</t>
  </si>
  <si>
    <t>ld-18</t>
  </si>
  <si>
    <t>Mampostería de 0,21 de bloques de hormigón</t>
  </si>
  <si>
    <t>de 19 x 19 x 39, mezcla con cemento de albañilería</t>
  </si>
  <si>
    <t>bloques 19 x 19 x 39</t>
  </si>
  <si>
    <t>ld-19</t>
  </si>
  <si>
    <t>Tabique de ladrillos de vidrio de 8 x 19 x 19,</t>
  </si>
  <si>
    <r>
      <t>mezcla 1/2 : 1 : 3, por m2:</t>
    </r>
    <r>
      <rPr>
        <sz val="12"/>
        <color indexed="21"/>
        <rFont val="MS Serif"/>
        <family val="1"/>
      </rPr>
      <t xml:space="preserve"> cemento común</t>
    </r>
  </si>
  <si>
    <t>cal aérea en polvo</t>
  </si>
  <si>
    <t>ag-04</t>
  </si>
  <si>
    <t>hierro ø 6</t>
  </si>
  <si>
    <t>ac-03</t>
  </si>
  <si>
    <t>ladrillos de vidrio 8x19x19</t>
  </si>
  <si>
    <t>vi-01</t>
  </si>
  <si>
    <t>Mampostería de ladrillos refractarios, espesor</t>
  </si>
  <si>
    <t>de pared 0,11, ladrillos de 6,5 x 11 x 23, por m2:</t>
  </si>
  <si>
    <t>cemento refractario</t>
  </si>
  <si>
    <t>ag-07</t>
  </si>
  <si>
    <t>ladrillos refractarios</t>
  </si>
  <si>
    <t>ld-20</t>
  </si>
  <si>
    <t>Tabique de ladrillos refractarios, colocados a</t>
  </si>
  <si>
    <t>panderete, ladrillos de 6,5 x 11 x 23, por m2:</t>
  </si>
  <si>
    <t>Mampostería de 0,13 de ladrillos de máquina</t>
  </si>
  <si>
    <t xml:space="preserve">macizos a la vista, medidas 5,3 x 11 x 24,5, mezcla </t>
  </si>
  <si>
    <r>
      <t xml:space="preserve">1/4 : 1 : 3, por m2: </t>
    </r>
    <r>
      <rPr>
        <sz val="12"/>
        <color indexed="21"/>
        <rFont val="MS Serif"/>
        <family val="1"/>
      </rPr>
      <t>cemento</t>
    </r>
  </si>
  <si>
    <t>ladrillos de máquina</t>
  </si>
  <si>
    <t>ld-21</t>
  </si>
  <si>
    <t>10 - Dinteles y Encadenados</t>
  </si>
  <si>
    <t>Dinteles de HºAº, por m3:</t>
  </si>
  <si>
    <r>
      <t>a) De 0,12 m de ancho:</t>
    </r>
    <r>
      <rPr>
        <sz val="12"/>
        <color indexed="21"/>
        <rFont val="MS Serif"/>
        <family val="1"/>
      </rPr>
      <t xml:space="preserve"> cemento</t>
    </r>
  </si>
  <si>
    <t>arena</t>
  </si>
  <si>
    <t>md-03</t>
  </si>
  <si>
    <t>alambre de atar Nº 16</t>
  </si>
  <si>
    <r>
      <t>b) De 0,25 m de ancho:</t>
    </r>
    <r>
      <rPr>
        <sz val="12"/>
        <color indexed="21"/>
        <rFont val="MS Serif"/>
        <family val="1"/>
      </rPr>
      <t xml:space="preserve"> cemento</t>
    </r>
  </si>
  <si>
    <t>Encadenados de HºAº, sobre mampostería por m3:</t>
  </si>
  <si>
    <r>
      <t xml:space="preserve">a) De 0,12 m de ancho: </t>
    </r>
    <r>
      <rPr>
        <sz val="12"/>
        <color indexed="21"/>
        <rFont val="MS Serif"/>
        <family val="1"/>
      </rPr>
      <t>cemento</t>
    </r>
  </si>
  <si>
    <t>Encadenados de HºAº en ladrillo cerámico "U"</t>
  </si>
  <si>
    <t>(el cerámico y su colocación se computarán en</t>
  </si>
  <si>
    <t>mamposterías), por metro lineal:</t>
  </si>
  <si>
    <t>Columnas de refuerzo, de HºAº incorporadas durante</t>
  </si>
  <si>
    <t xml:space="preserve">la elevación de la mampostería (18 x 12 cm), </t>
  </si>
  <si>
    <r>
      <t>por metro lineal:</t>
    </r>
    <r>
      <rPr>
        <sz val="12"/>
        <color indexed="21"/>
        <rFont val="MS Serif"/>
        <family val="1"/>
      </rPr>
      <t xml:space="preserve"> cemento</t>
    </r>
  </si>
  <si>
    <t>11 - Colocación de Aberturas</t>
  </si>
  <si>
    <t>Colocación de tacos solamente (6 por abertura) para</t>
  </si>
  <si>
    <t>marcos de madera interior tipo cajón, por cada</t>
  </si>
  <si>
    <r>
      <t>abertura:</t>
    </r>
    <r>
      <rPr>
        <sz val="12"/>
        <color indexed="21"/>
        <rFont val="MS Serif"/>
        <family val="1"/>
      </rPr>
      <t xml:space="preserve"> tacos</t>
    </r>
  </si>
  <si>
    <t>md-05</t>
  </si>
  <si>
    <t>Colocación de marcos de chapa doblada para puerta</t>
  </si>
  <si>
    <t>placa interior de 1 hoja, ancho del marco 0,10 a 0,20 m,</t>
  </si>
  <si>
    <r>
      <t xml:space="preserve">por cada uno: </t>
    </r>
    <r>
      <rPr>
        <sz val="12"/>
        <color indexed="21"/>
        <rFont val="MS Serif"/>
        <family val="1"/>
      </rPr>
      <t>oficial</t>
    </r>
  </si>
  <si>
    <t>Colocación de marcos o aberturas hasta 1,25 m2</t>
  </si>
  <si>
    <t>(aprox. 1,00 x 1,25 m), de cualquier tipo (madera, hierro,</t>
  </si>
  <si>
    <r>
      <t xml:space="preserve">aluminio), por cada uno: </t>
    </r>
    <r>
      <rPr>
        <sz val="12"/>
        <color indexed="21"/>
        <rFont val="MS Serif"/>
        <family val="1"/>
      </rPr>
      <t>oficial</t>
    </r>
  </si>
  <si>
    <t>Colocación de marcos o aberturas de 1,30 a 2,45</t>
  </si>
  <si>
    <t>m2 (aprox. 1,20 x 2 m), (madera, hierro o aluminio),</t>
  </si>
  <si>
    <r>
      <t>por cada uno:</t>
    </r>
    <r>
      <rPr>
        <sz val="12"/>
        <color indexed="21"/>
        <rFont val="MS Serif"/>
        <family val="1"/>
      </rPr>
      <t xml:space="preserve"> oficial</t>
    </r>
  </si>
  <si>
    <t>Colocación de marcos o aberturas de 2,50 a 4,50</t>
  </si>
  <si>
    <t>m2 (aprox. 2 x 3 m), marcos de portón garage no levadizos</t>
  </si>
  <si>
    <t xml:space="preserve">(madera, hierro, aluminio), por cada uno: </t>
  </si>
  <si>
    <t>Colocación de marcos de frente de placard hasta</t>
  </si>
  <si>
    <r>
      <t>4 m2, por cada uno:</t>
    </r>
    <r>
      <rPr>
        <sz val="12"/>
        <color indexed="21"/>
        <rFont val="MS Serif"/>
        <family val="1"/>
      </rPr>
      <t xml:space="preserve"> oficial</t>
    </r>
  </si>
  <si>
    <t xml:space="preserve">Colocación de baranda metálica de balcón, </t>
  </si>
  <si>
    <t>de 0,90 m de alto, por metro lineal de baranda:</t>
  </si>
  <si>
    <t>Colocación de marcos de rejilla en pisos o de</t>
  </si>
  <si>
    <t>tapas de cámaras, por metro lineal de rejilla o</t>
  </si>
  <si>
    <r>
      <t>unidad de tapa:</t>
    </r>
    <r>
      <rPr>
        <sz val="12"/>
        <color indexed="21"/>
        <rFont val="MS Serif"/>
        <family val="1"/>
      </rPr>
      <t xml:space="preserve"> oficial</t>
    </r>
  </si>
  <si>
    <t>12 - Entrepisos Premoldeados</t>
  </si>
  <si>
    <t>Losa de viguetas pretensadas (luz aprox. 3,50 m) y</t>
  </si>
  <si>
    <t>bloques cerámicos o de hormigón liviano, con capa de</t>
  </si>
  <si>
    <t>compresión de 5 cm, con hormigón mezcla 1:2 1/2:2 1/2</t>
  </si>
  <si>
    <t>(p.p., Dmax 13), elaborado en obra, armadura de</t>
  </si>
  <si>
    <t>repartición 4,2 x 15 x 15, por m2:</t>
  </si>
  <si>
    <t>a) con ladrillos de 9 cm de alto:</t>
  </si>
  <si>
    <t>viguetas</t>
  </si>
  <si>
    <t>pm-01</t>
  </si>
  <si>
    <t>bloques de 9 cm</t>
  </si>
  <si>
    <t>pm-02</t>
  </si>
  <si>
    <t>malla 4,2 x 15 x 15</t>
  </si>
  <si>
    <t>b) con ladrillos de 12,5 cm de alto:</t>
  </si>
  <si>
    <t>pm-03</t>
  </si>
  <si>
    <t>bloques de 12,5</t>
  </si>
  <si>
    <t>pm-04</t>
  </si>
  <si>
    <t>c) con ladrillos de 12,5 cm de alto y doble vigueta:</t>
  </si>
  <si>
    <t>Losa de viguetas pretensadas (luz 3,50 m) y bloques</t>
  </si>
  <si>
    <t>de poliestireno expandido de 1 m de largo con capa de</t>
  </si>
  <si>
    <t>compresión de 5 cm, hormigón mezcla 1 : 2 1/2 : 2 1/2</t>
  </si>
  <si>
    <t xml:space="preserve">repartición malla 4,2 x 15 x 15, por m2: </t>
  </si>
  <si>
    <t>a) con bloques de poliestireno expandido de 12,5 cm:</t>
  </si>
  <si>
    <t>bloques poliestireno exp.</t>
  </si>
  <si>
    <t>pm-05</t>
  </si>
  <si>
    <t>b) con bloques de poliestireno expandido de 16,5 cm</t>
  </si>
  <si>
    <r>
      <t>de alto, por m2:</t>
    </r>
    <r>
      <rPr>
        <sz val="12"/>
        <color indexed="21"/>
        <rFont val="MS Serif"/>
        <family val="1"/>
      </rPr>
      <t xml:space="preserve"> cemento</t>
    </r>
  </si>
  <si>
    <t>pm-06</t>
  </si>
  <si>
    <t>pm-07</t>
  </si>
  <si>
    <t>Losa hueca pretensada  de 9,5 cm de espesor y 3,30</t>
  </si>
  <si>
    <t>m de luz aprox., ancho de placa: 0,30 m, peso propio</t>
  </si>
  <si>
    <t>145 kg/m2, se incluye tomado de juntas, por m2:</t>
  </si>
  <si>
    <t>losa pretensada</t>
  </si>
  <si>
    <t>pm-08</t>
  </si>
  <si>
    <t>Capa de compresión  de 4 cm de espesor optativo</t>
  </si>
  <si>
    <t xml:space="preserve">sobre losa pretensada, mezcla 1 : 2 1/2 : 2 1/2 (p.p., </t>
  </si>
  <si>
    <t>Dmax 13), elaborada en obra, traslados con carretilla,</t>
  </si>
  <si>
    <t>armadura de repartición malla 4,2 x 15 x 15, por m2:</t>
  </si>
  <si>
    <t>Tomado de juntas de losas huecas pretensadas</t>
  </si>
  <si>
    <t>existentes (ya colocadas por medios mecánicos), concreto</t>
  </si>
  <si>
    <t>1:3, por metro lineal de junta:</t>
  </si>
  <si>
    <t>a) En losas de 12 cm de espesor (0,0046 m3/m de</t>
  </si>
  <si>
    <r>
      <t xml:space="preserve">concreto): </t>
    </r>
    <r>
      <rPr>
        <sz val="12"/>
        <color indexed="21"/>
        <rFont val="MS Serif"/>
        <family val="1"/>
      </rPr>
      <t>cemento</t>
    </r>
  </si>
  <si>
    <t>b) En losas de 16 cm de espesor (0,0068 m3/m de</t>
  </si>
  <si>
    <r>
      <t>concreto):</t>
    </r>
    <r>
      <rPr>
        <sz val="12"/>
        <color indexed="21"/>
        <rFont val="MS Serif"/>
        <family val="1"/>
      </rPr>
      <t xml:space="preserve"> cemento</t>
    </r>
  </si>
  <si>
    <t>Perfil de acero (PNI) colocado, nivelado y</t>
  </si>
  <si>
    <t>amurado (sin eventual picado de nichos para empotrado)</t>
  </si>
  <si>
    <r>
      <t>a) De 16 cm de alto (PNI 16):</t>
    </r>
    <r>
      <rPr>
        <sz val="12"/>
        <color indexed="21"/>
        <rFont val="MS Serif"/>
        <family val="1"/>
      </rPr>
      <t xml:space="preserve"> perfil de acero</t>
    </r>
  </si>
  <si>
    <t>ac-07</t>
  </si>
  <si>
    <r>
      <t>b) De 20 cm de alto (PNI 20)</t>
    </r>
    <r>
      <rPr>
        <sz val="12"/>
        <color indexed="21"/>
        <rFont val="MS Serif"/>
        <family val="1"/>
      </rPr>
      <t>: perfil de acero</t>
    </r>
  </si>
  <si>
    <t>ac-08</t>
  </si>
  <si>
    <t>13 - Contrapisos</t>
  </si>
  <si>
    <t>Contrapiso de cascotes sobre terreno natural,</t>
  </si>
  <si>
    <t>mezcla 1/4 : 1 : 3 : 6, incluye nivelación del terreno</t>
  </si>
  <si>
    <t>y elaboración de hormigón en obra, por m2:</t>
  </si>
  <si>
    <r>
      <t>a) de 12 cm de espesor:</t>
    </r>
    <r>
      <rPr>
        <sz val="12"/>
        <color indexed="21"/>
        <rFont val="MS Serif"/>
        <family val="1"/>
      </rPr>
      <t xml:space="preserve"> cemento</t>
    </r>
  </si>
  <si>
    <r>
      <t>b) de 20 cm de espesor:</t>
    </r>
    <r>
      <rPr>
        <sz val="12"/>
        <color indexed="21"/>
        <rFont val="MS Serif"/>
        <family val="1"/>
      </rPr>
      <t xml:space="preserve"> cemento</t>
    </r>
  </si>
  <si>
    <t>Contrapiso de cascotes sobre terreno natural, mezcla</t>
  </si>
  <si>
    <t xml:space="preserve">muy reforzada con cemento, proporción 1 : 1 : 4 : 8, </t>
  </si>
  <si>
    <t>incluye nivelación del terreno y elaboración</t>
  </si>
  <si>
    <t>del hormigón en obra; espesor 12 cm; por m2:</t>
  </si>
  <si>
    <t>Contrapiso sobre losa, elevación por medios</t>
  </si>
  <si>
    <t>mecánicos, elaboración en obra, espesor 0,10 m,</t>
  </si>
  <si>
    <t>a) de hormigón de cascotes (mezcla 1/4 : 1 : 3 : 6):</t>
  </si>
  <si>
    <t>b) de arcilla expandida y cemento (mezcla 1:9):</t>
  </si>
  <si>
    <t>arcilla expandida</t>
  </si>
  <si>
    <t>ar-09</t>
  </si>
  <si>
    <t>Contrapiso sobre losa baja en local sanitario,</t>
  </si>
  <si>
    <t>espesor 18 cm, elevación materiales por medios</t>
  </si>
  <si>
    <t>mecánicos, elaboración en obra, por m2:</t>
  </si>
  <si>
    <t>Contrapiso de azotea con pendiente, espesor</t>
  </si>
  <si>
    <t>promedio 10 cm, elevación materiales por medios</t>
  </si>
  <si>
    <t xml:space="preserve">Contrapiso en general, de 6 cm de espesor, </t>
  </si>
  <si>
    <t>elevación materiales por medios mecánicos, elaboración</t>
  </si>
  <si>
    <t>en obra, por m2:</t>
  </si>
  <si>
    <t>b) de arcilla expandida, cemento y arena</t>
  </si>
  <si>
    <r>
      <t>(mezcla 1 : 3 : 4):</t>
    </r>
    <r>
      <rPr>
        <sz val="12"/>
        <color indexed="21"/>
        <rFont val="MS Serif"/>
        <family val="1"/>
      </rPr>
      <t xml:space="preserve"> cemento</t>
    </r>
  </si>
  <si>
    <t>c) con vermiculita (mezcla 1:5): cemento</t>
  </si>
  <si>
    <t>vermiculita</t>
  </si>
  <si>
    <t>ai-02</t>
  </si>
  <si>
    <t>emulsionante</t>
  </si>
  <si>
    <t>ai-03</t>
  </si>
  <si>
    <t>d) con perlita C G 50 (mezcla 1:5):</t>
  </si>
  <si>
    <t>perlita</t>
  </si>
  <si>
    <t>ai-04</t>
  </si>
  <si>
    <t>aditivo</t>
  </si>
  <si>
    <t>ai-05</t>
  </si>
  <si>
    <t xml:space="preserve">Relleno de cascotes a granel sobre terreno natural, </t>
  </si>
  <si>
    <t>formando contrapiso sin empastar (uso zonas terrenos</t>
  </si>
  <si>
    <t>leve, espesor 0,25 m o similar, por m3:</t>
  </si>
  <si>
    <t>Preparación de fajas o puntos de nivel, o colocación</t>
  </si>
  <si>
    <t>de guías amuradas, para rellenos con material de</t>
  </si>
  <si>
    <t>contrapiso liviano, sin incluir éste, por m2:</t>
  </si>
  <si>
    <t>14 - Revoques</t>
  </si>
  <si>
    <t>Revoque grueso exterior bajo fino a la cal</t>
  </si>
  <si>
    <t>(espesor 2 cm), mezcla 1/4 : 1 : 3 : 1, por m2:</t>
  </si>
  <si>
    <t>Capa aisladora vertical ver Rubro "Capas aisladoras" (Hoja 310.000)</t>
  </si>
  <si>
    <t>Revoque grueso exterior bajo material de frente</t>
  </si>
  <si>
    <t>de base cementicia (espesor 2,2 cm), mezcla 1 : 1 : 5,</t>
  </si>
  <si>
    <r>
      <t>por m2:</t>
    </r>
    <r>
      <rPr>
        <sz val="12"/>
        <color indexed="21"/>
        <rFont val="MS Serif"/>
        <family val="1"/>
      </rPr>
      <t xml:space="preserve"> cemento</t>
    </r>
  </si>
  <si>
    <t>Revoque grueso interior bajo revestimientos</t>
  </si>
  <si>
    <t>colocados con mezcla de cal, mezcla 1/8 : 1 : 3 1/2</t>
  </si>
  <si>
    <t>colocados con mezcla adhesiva, mezcla 1/4 : 1 :3,</t>
  </si>
  <si>
    <t>Revoque grueso interior bajo fino a la cal,</t>
  </si>
  <si>
    <r>
      <t>mezcla 1/8 : 1 : 3, por m2:</t>
    </r>
    <r>
      <rPr>
        <sz val="12"/>
        <color indexed="21"/>
        <rFont val="MS Serif"/>
        <family val="1"/>
      </rPr>
      <t xml:space="preserve"> cemento</t>
    </r>
  </si>
  <si>
    <t>Revoque grueso de vermiculita, aislante térmico,</t>
  </si>
  <si>
    <r>
      <t>espesor 2 cm, por m2:</t>
    </r>
    <r>
      <rPr>
        <sz val="12"/>
        <color indexed="21"/>
        <rFont val="MS Serif"/>
        <family val="1"/>
      </rPr>
      <t xml:space="preserve"> cemento</t>
    </r>
  </si>
  <si>
    <t>ai-14</t>
  </si>
  <si>
    <t>incorporador de aire</t>
  </si>
  <si>
    <t>Revoque grueso de perlita, aislante térmico,</t>
  </si>
  <si>
    <t>espesor 2 cm, por m2:</t>
  </si>
  <si>
    <t>a) para exteriores, proporción 1 : 1 : 5 : 1 (cemento, cal</t>
  </si>
  <si>
    <r>
      <t xml:space="preserve">hidráulica, perlita, arena fina): </t>
    </r>
    <r>
      <rPr>
        <sz val="12"/>
        <color indexed="21"/>
        <rFont val="MS Serif"/>
        <family val="1"/>
      </rPr>
      <t>cemento</t>
    </r>
  </si>
  <si>
    <t>b) para interiores, proporción 1 : 1 : 3 : 2 (cemento, cal</t>
  </si>
  <si>
    <t>Revoque fino a la cal, envasado predosificado,</t>
  </si>
  <si>
    <t>espesor 3 mm (grueso sin peinar), por m2:</t>
  </si>
  <si>
    <t>material predosificado</t>
  </si>
  <si>
    <t>pd-01</t>
  </si>
  <si>
    <t>14.9</t>
  </si>
  <si>
    <t>Revoque fino para frentes, de base cementicia,</t>
  </si>
  <si>
    <t>(envasado predosificado), terminación fratasado y</t>
  </si>
  <si>
    <r>
      <t xml:space="preserve">peinado, por m2: </t>
    </r>
    <r>
      <rPr>
        <sz val="12"/>
        <color indexed="21"/>
        <rFont val="MS Serif"/>
        <family val="1"/>
      </rPr>
      <t>material predosificado</t>
    </r>
  </si>
  <si>
    <t>pd-02</t>
  </si>
  <si>
    <t>salpicado con molinete de mano y planchado, por m2:</t>
  </si>
  <si>
    <t>pd-03</t>
  </si>
  <si>
    <t>adhesivo líquido</t>
  </si>
  <si>
    <t>pd-04</t>
  </si>
  <si>
    <t>Alisado de cemento en paramentos verticales,</t>
  </si>
  <si>
    <t>arcilla expansiva), nivelación del material y apisonado</t>
  </si>
  <si>
    <t>grueso 1:3 espesor 2 cm, fino 1:1 espesor 3 mm, alisado</t>
  </si>
  <si>
    <t>a la llana, por m2:</t>
  </si>
  <si>
    <r>
      <t>a) en paredes:</t>
    </r>
    <r>
      <rPr>
        <sz val="12"/>
        <color indexed="21"/>
        <rFont val="MS Serif"/>
        <family val="1"/>
      </rPr>
      <t xml:space="preserve"> cemento</t>
    </r>
  </si>
  <si>
    <t>b) en interiores de tanques para agua (grueso espesor</t>
  </si>
  <si>
    <r>
      <t>1,5 cm):</t>
    </r>
    <r>
      <rPr>
        <sz val="12"/>
        <color indexed="21"/>
        <rFont val="MS Serif"/>
        <family val="1"/>
      </rPr>
      <t xml:space="preserve"> cemento</t>
    </r>
  </si>
  <si>
    <t>Tomado de juntas de ladrillos a la vista, mezcla</t>
  </si>
  <si>
    <t>1:1, por m2:</t>
  </si>
  <si>
    <t>Terminación bolseado sobre ladrillos a la vista,</t>
  </si>
  <si>
    <t>sin aporte de material, por m2:</t>
  </si>
  <si>
    <t>Revoque completo a la cal, en medianeros y cercos,</t>
  </si>
  <si>
    <t>incluye azotado y planchado hidrófugo mezcla 1:3,</t>
  </si>
  <si>
    <t>grueso espesor 2,2 cm mezcla 1/4 : 1 : 3 : 1, fino a la cal</t>
  </si>
  <si>
    <t>preparado en obra, mezcla 1/8 : 1 : 3, espesor 4 mm,</t>
  </si>
  <si>
    <r>
      <t xml:space="preserve">por m2: </t>
    </r>
    <r>
      <rPr>
        <sz val="12"/>
        <color indexed="21"/>
        <rFont val="MS Serif"/>
        <family val="1"/>
      </rPr>
      <t>cemento</t>
    </r>
  </si>
  <si>
    <t>Revoque fino solamente (enlucido) a la cal, preparado</t>
  </si>
  <si>
    <t>en obra, mezcla 1/8 : 1 : 3, espesor 4 mm, por m2:</t>
  </si>
  <si>
    <t>arena fina seca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</si>
</sst>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.0000"/>
    <numFmt numFmtId="181" formatCode="&quot;$&quot;#,##0.00"/>
    <numFmt numFmtId="182" formatCode="0.000"/>
    <numFmt numFmtId="183" formatCode="0.0"/>
    <numFmt numFmtId="184" formatCode="0.0000"/>
    <numFmt numFmtId="185" formatCode="0.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6"/>
      <name val="MS Serif"/>
      <family val="1"/>
    </font>
    <font>
      <sz val="12"/>
      <color indexed="21"/>
      <name val="MS Serif"/>
      <family val="1"/>
    </font>
    <font>
      <sz val="12"/>
      <color indexed="62"/>
      <name val="MS Serif"/>
      <family val="1"/>
    </font>
    <font>
      <sz val="12"/>
      <color indexed="10"/>
      <name val="MS Serif"/>
      <family val="1"/>
    </font>
    <font>
      <sz val="12"/>
      <color indexed="18"/>
      <name val="MS Serif"/>
      <family val="1"/>
    </font>
    <font>
      <sz val="10"/>
      <color indexed="18"/>
      <name val="Arial"/>
      <family val="0"/>
    </font>
    <font>
      <b/>
      <i/>
      <sz val="12"/>
      <color indexed="8"/>
      <name val="MS Serif"/>
      <family val="1"/>
    </font>
    <font>
      <b/>
      <sz val="12"/>
      <color indexed="8"/>
      <name val="MS Serif"/>
      <family val="1"/>
    </font>
    <font>
      <sz val="12"/>
      <color indexed="8"/>
      <name val="MS Serif"/>
      <family val="1"/>
    </font>
    <font>
      <sz val="10"/>
      <name val="MS Serif"/>
      <family val="1"/>
    </font>
    <font>
      <sz val="12"/>
      <color indexed="17"/>
      <name val="MS Serif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ck"/>
      <top>
        <color indexed="63"/>
      </top>
      <bottom style="thick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6" fillId="0" borderId="3" xfId="0" applyNumberFormat="1" applyFont="1" applyBorder="1" applyAlignment="1">
      <alignment wrapText="1"/>
    </xf>
    <xf numFmtId="0" fontId="6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Continuous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6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6" fillId="0" borderId="5" xfId="0" applyNumberFormat="1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6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6" fillId="0" borderId="5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6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12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Continuous"/>
    </xf>
    <xf numFmtId="0" fontId="6" fillId="0" borderId="6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6" fillId="0" borderId="15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6" fillId="0" borderId="17" xfId="0" applyNumberFormat="1" applyFont="1" applyBorder="1" applyAlignment="1">
      <alignment wrapText="1"/>
    </xf>
    <xf numFmtId="0" fontId="10" fillId="0" borderId="7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17" xfId="0" applyFont="1" applyBorder="1" applyAlignment="1">
      <alignment horizontal="center"/>
    </xf>
    <xf numFmtId="0" fontId="11" fillId="0" borderId="1" xfId="0" applyNumberFormat="1" applyFont="1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5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7" fillId="0" borderId="26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7" fillId="0" borderId="29" xfId="0" applyNumberFormat="1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7" fillId="0" borderId="7" xfId="0" applyNumberFormat="1" applyFont="1" applyBorder="1" applyAlignment="1">
      <alignment horizontal="centerContinuous"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3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6" xfId="0" applyNumberFormat="1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5" fillId="2" borderId="28" xfId="0" applyFont="1" applyFill="1" applyBorder="1" applyAlignment="1">
      <alignment horizontal="centerContinuous" vertical="center"/>
    </xf>
    <xf numFmtId="0" fontId="5" fillId="2" borderId="27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5" fillId="2" borderId="30" xfId="0" applyFont="1" applyFill="1" applyBorder="1" applyAlignment="1">
      <alignment horizontal="centerContinuous" vertical="center"/>
    </xf>
    <xf numFmtId="0" fontId="0" fillId="0" borderId="3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/>
    </xf>
    <xf numFmtId="0" fontId="6" fillId="0" borderId="25" xfId="0" applyNumberFormat="1" applyFont="1" applyBorder="1" applyAlignment="1">
      <alignment wrapText="1"/>
    </xf>
    <xf numFmtId="0" fontId="10" fillId="0" borderId="6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10" fillId="0" borderId="25" xfId="0" applyNumberFormat="1" applyFont="1" applyBorder="1" applyAlignment="1">
      <alignment/>
    </xf>
    <xf numFmtId="0" fontId="7" fillId="0" borderId="25" xfId="0" applyNumberFormat="1" applyFont="1" applyBorder="1" applyAlignment="1">
      <alignment horizontal="centerContinuous" vertical="center"/>
    </xf>
    <xf numFmtId="0" fontId="0" fillId="0" borderId="25" xfId="0" applyBorder="1" applyAlignment="1">
      <alignment/>
    </xf>
    <xf numFmtId="0" fontId="4" fillId="2" borderId="28" xfId="0" applyFont="1" applyFill="1" applyBorder="1" applyAlignment="1">
      <alignment horizontal="centerContinuous" vertical="center"/>
    </xf>
    <xf numFmtId="0" fontId="4" fillId="2" borderId="2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2" borderId="28" xfId="0" applyFont="1" applyFill="1" applyBorder="1" applyAlignment="1">
      <alignment horizontal="centerContinuous"/>
    </xf>
    <xf numFmtId="0" fontId="4" fillId="2" borderId="28" xfId="0" applyFont="1" applyFill="1" applyBorder="1" applyAlignment="1">
      <alignment horizontal="left"/>
    </xf>
    <xf numFmtId="2" fontId="4" fillId="2" borderId="28" xfId="0" applyNumberFormat="1" applyFont="1" applyFill="1" applyBorder="1" applyAlignment="1">
      <alignment horizontal="centerContinuous" vertical="center"/>
    </xf>
    <xf numFmtId="0" fontId="0" fillId="0" borderId="33" xfId="0" applyBorder="1" applyAlignment="1">
      <alignment wrapText="1"/>
    </xf>
    <xf numFmtId="0" fontId="0" fillId="0" borderId="33" xfId="0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28" xfId="0" applyFont="1" applyFill="1" applyBorder="1" applyAlignment="1" quotePrefix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0" borderId="32" xfId="0" applyNumberFormat="1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center" wrapText="1"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2" fillId="0" borderId="18" xfId="0" applyFont="1" applyBorder="1" applyAlignment="1">
      <alignment horizontal="centerContinuous" vertical="center"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2" xfId="0" applyFont="1" applyBorder="1" applyAlignment="1" quotePrefix="1">
      <alignment horizontal="left"/>
    </xf>
    <xf numFmtId="0" fontId="4" fillId="0" borderId="2" xfId="0" applyFont="1" applyBorder="1" applyAlignment="1">
      <alignment horizontal="centerContinuous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7" fillId="2" borderId="1" xfId="0" applyNumberFormat="1" applyFont="1" applyFill="1" applyBorder="1" applyAlignment="1">
      <alignment horizontal="centerContinuous" vertic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6" xfId="0" applyFont="1" applyBorder="1" applyAlignment="1">
      <alignment/>
    </xf>
    <xf numFmtId="0" fontId="6" fillId="0" borderId="36" xfId="0" applyNumberFormat="1" applyFont="1" applyBorder="1" applyAlignment="1">
      <alignment/>
    </xf>
    <xf numFmtId="0" fontId="10" fillId="0" borderId="36" xfId="0" applyNumberFormat="1" applyFont="1" applyBorder="1" applyAlignment="1">
      <alignment/>
    </xf>
    <xf numFmtId="0" fontId="7" fillId="0" borderId="36" xfId="0" applyNumberFormat="1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 quotePrefix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/>
    </xf>
    <xf numFmtId="2" fontId="4" fillId="0" borderId="28" xfId="0" applyNumberFormat="1" applyFont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 quotePrefix="1">
      <alignment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Continuous"/>
    </xf>
    <xf numFmtId="0" fontId="5" fillId="0" borderId="40" xfId="0" applyFont="1" applyBorder="1" applyAlignment="1">
      <alignment horizontal="centerContinuous"/>
    </xf>
    <xf numFmtId="0" fontId="5" fillId="2" borderId="33" xfId="0" applyFont="1" applyFill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1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2" borderId="46" xfId="0" applyFont="1" applyFill="1" applyBorder="1" applyAlignment="1">
      <alignment horizontal="centerContinuous" vertical="center"/>
    </xf>
    <xf numFmtId="0" fontId="5" fillId="2" borderId="47" xfId="0" applyFont="1" applyFill="1" applyBorder="1" applyAlignment="1">
      <alignment horizontal="centerContinuous" vertical="center"/>
    </xf>
    <xf numFmtId="0" fontId="11" fillId="0" borderId="6" xfId="0" applyNumberFormat="1" applyFont="1" applyBorder="1" applyAlignment="1">
      <alignment/>
    </xf>
    <xf numFmtId="0" fontId="4" fillId="0" borderId="16" xfId="0" applyFont="1" applyBorder="1" applyAlignment="1" quotePrefix="1">
      <alignment horizontal="left"/>
    </xf>
    <xf numFmtId="0" fontId="5" fillId="0" borderId="39" xfId="0" applyFont="1" applyBorder="1" applyAlignment="1">
      <alignment horizontal="centerContinuous"/>
    </xf>
    <xf numFmtId="0" fontId="5" fillId="0" borderId="43" xfId="0" applyFont="1" applyBorder="1" applyAlignment="1">
      <alignment horizontal="centerContinuous"/>
    </xf>
    <xf numFmtId="0" fontId="0" fillId="0" borderId="48" xfId="0" applyBorder="1" applyAlignment="1">
      <alignment/>
    </xf>
    <xf numFmtId="0" fontId="10" fillId="0" borderId="1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4" fillId="0" borderId="2" xfId="0" applyFont="1" applyBorder="1" applyAlignment="1" quotePrefix="1">
      <alignment horizontal="left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" fillId="0" borderId="6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4" fillId="2" borderId="16" xfId="0" applyFont="1" applyFill="1" applyBorder="1" applyAlignment="1">
      <alignment horizontal="left"/>
    </xf>
    <xf numFmtId="0" fontId="5" fillId="2" borderId="16" xfId="0" applyFont="1" applyFill="1" applyBorder="1" applyAlignment="1" quotePrefix="1">
      <alignment horizontal="center" vertical="center"/>
    </xf>
    <xf numFmtId="0" fontId="5" fillId="2" borderId="4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2" fontId="4" fillId="2" borderId="16" xfId="0" applyNumberFormat="1" applyFont="1" applyFill="1" applyBorder="1" applyAlignment="1">
      <alignment horizontal="centerContinuous" vertic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2" fillId="0" borderId="2" xfId="0" applyFont="1" applyBorder="1" applyAlignment="1">
      <alignment horizontal="centerContinuous" vertical="center"/>
    </xf>
    <xf numFmtId="0" fontId="0" fillId="0" borderId="0" xfId="0" applyBorder="1" applyAlignment="1">
      <alignment wrapText="1"/>
    </xf>
    <xf numFmtId="0" fontId="5" fillId="2" borderId="16" xfId="0" applyFont="1" applyFill="1" applyBorder="1" applyAlignment="1">
      <alignment horizontal="centerContinuous"/>
    </xf>
    <xf numFmtId="0" fontId="5" fillId="0" borderId="47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5" fillId="0" borderId="46" xfId="0" applyFont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2" fontId="10" fillId="0" borderId="3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183" fontId="10" fillId="0" borderId="3" xfId="0" applyNumberFormat="1" applyFont="1" applyBorder="1" applyAlignment="1">
      <alignment/>
    </xf>
    <xf numFmtId="2" fontId="10" fillId="0" borderId="36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18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Continuous" vertical="center"/>
    </xf>
    <xf numFmtId="182" fontId="7" fillId="0" borderId="1" xfId="0" applyNumberFormat="1" applyFont="1" applyBorder="1" applyAlignment="1">
      <alignment horizontal="centerContinuous" vertical="center"/>
    </xf>
    <xf numFmtId="2" fontId="8" fillId="0" borderId="1" xfId="0" applyNumberFormat="1" applyFont="1" applyBorder="1" applyAlignment="1">
      <alignment horizontal="right" vertical="center"/>
    </xf>
    <xf numFmtId="182" fontId="8" fillId="0" borderId="1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/>
    </xf>
    <xf numFmtId="2" fontId="8" fillId="0" borderId="5" xfId="0" applyNumberFormat="1" applyFont="1" applyBorder="1" applyAlignment="1">
      <alignment horizontal="right" vertical="center"/>
    </xf>
    <xf numFmtId="0" fontId="4" fillId="3" borderId="63" xfId="0" applyFont="1" applyFill="1" applyBorder="1" applyAlignment="1">
      <alignment/>
    </xf>
    <xf numFmtId="0" fontId="4" fillId="3" borderId="64" xfId="0" applyFont="1" applyFill="1" applyBorder="1" applyAlignment="1">
      <alignment/>
    </xf>
    <xf numFmtId="0" fontId="4" fillId="3" borderId="65" xfId="0" applyFont="1" applyFill="1" applyBorder="1" applyAlignment="1">
      <alignment/>
    </xf>
    <xf numFmtId="0" fontId="4" fillId="3" borderId="66" xfId="0" applyFont="1" applyFill="1" applyBorder="1" applyAlignment="1">
      <alignment horizontal="centerContinuous" vertical="center"/>
    </xf>
    <xf numFmtId="0" fontId="4" fillId="3" borderId="67" xfId="0" applyFont="1" applyFill="1" applyBorder="1" applyAlignment="1">
      <alignment horizontal="centerContinuous" vertical="center"/>
    </xf>
    <xf numFmtId="0" fontId="4" fillId="3" borderId="67" xfId="0" applyFont="1" applyFill="1" applyBorder="1" applyAlignment="1">
      <alignment horizontal="centerContinuous" vertical="center" wrapText="1"/>
    </xf>
    <xf numFmtId="0" fontId="4" fillId="3" borderId="68" xfId="0" applyFont="1" applyFill="1" applyBorder="1" applyAlignment="1">
      <alignment horizontal="centerContinuous" vertical="center"/>
    </xf>
    <xf numFmtId="0" fontId="4" fillId="3" borderId="6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70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71" xfId="0" applyFont="1" applyFill="1" applyBorder="1" applyAlignment="1">
      <alignment horizontal="centerContinuous" vertical="center"/>
    </xf>
    <xf numFmtId="0" fontId="4" fillId="3" borderId="72" xfId="0" applyFont="1" applyFill="1" applyBorder="1" applyAlignment="1">
      <alignment horizontal="centerContinuous" vertical="center"/>
    </xf>
    <xf numFmtId="0" fontId="4" fillId="3" borderId="72" xfId="0" applyFont="1" applyFill="1" applyBorder="1" applyAlignment="1">
      <alignment horizontal="centerContinuous" vertical="center" wrapText="1"/>
    </xf>
    <xf numFmtId="0" fontId="4" fillId="3" borderId="73" xfId="0" applyFont="1" applyFill="1" applyBorder="1" applyAlignment="1">
      <alignment horizontal="centerContinuous" vertical="center"/>
    </xf>
    <xf numFmtId="0" fontId="4" fillId="3" borderId="74" xfId="0" applyFont="1" applyFill="1" applyBorder="1" applyAlignment="1" quotePrefix="1">
      <alignment horizontal="left"/>
    </xf>
    <xf numFmtId="0" fontId="4" fillId="3" borderId="7" xfId="0" applyFont="1" applyFill="1" applyBorder="1" applyAlignment="1">
      <alignment/>
    </xf>
    <xf numFmtId="0" fontId="4" fillId="3" borderId="75" xfId="0" applyFont="1" applyFill="1" applyBorder="1" applyAlignment="1">
      <alignment/>
    </xf>
    <xf numFmtId="0" fontId="4" fillId="3" borderId="3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 wrapText="1"/>
    </xf>
    <xf numFmtId="0" fontId="4" fillId="3" borderId="76" xfId="0" applyFont="1" applyFill="1" applyBorder="1" applyAlignment="1">
      <alignment/>
    </xf>
    <xf numFmtId="0" fontId="4" fillId="3" borderId="77" xfId="0" applyFont="1" applyFill="1" applyBorder="1" applyAlignment="1">
      <alignment/>
    </xf>
    <xf numFmtId="0" fontId="8" fillId="3" borderId="78" xfId="0" applyFont="1" applyFill="1" applyBorder="1" applyAlignment="1">
      <alignment/>
    </xf>
    <xf numFmtId="0" fontId="12" fillId="3" borderId="68" xfId="0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153</xdr:row>
      <xdr:rowOff>0</xdr:rowOff>
    </xdr:from>
    <xdr:to>
      <xdr:col>7</xdr:col>
      <xdr:colOff>0</xdr:colOff>
      <xdr:row>163</xdr:row>
      <xdr:rowOff>0</xdr:rowOff>
    </xdr:to>
    <xdr:sp>
      <xdr:nvSpPr>
        <xdr:cNvPr id="1" name="Texto 17"/>
        <xdr:cNvSpPr txBox="1">
          <a:spLocks noChangeArrowheads="1"/>
        </xdr:cNvSpPr>
      </xdr:nvSpPr>
      <xdr:spPr>
        <a:xfrm>
          <a:off x="3714750" y="31337250"/>
          <a:ext cx="3457575" cy="2000250"/>
        </a:xfrm>
        <a:prstGeom prst="rect">
          <a:avLst/>
        </a:prstGeom>
        <a:pattFill prst="ltVert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Distribución de tareas en el día:
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4,5 horas                     4,5 horas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ayudante            descarga bolsas           limpia y prepara 
1 oficial                    manguerea                      frataza
2 oficiales                   reglean                        fratazan
2 oficiales                colocan guías              colocan guias
Las guías se colocan para la tarea del día siguiente; el día 
previo al comienzo 2 oficlaes colocan quias y el oficial
maquinista y el ayudante preparan la máquina</a:t>
          </a:r>
        </a:p>
      </xdr:txBody>
    </xdr:sp>
    <xdr:clientData/>
  </xdr:twoCellAnchor>
  <xdr:twoCellAnchor>
    <xdr:from>
      <xdr:col>3</xdr:col>
      <xdr:colOff>66675</xdr:colOff>
      <xdr:row>154</xdr:row>
      <xdr:rowOff>28575</xdr:rowOff>
    </xdr:from>
    <xdr:to>
      <xdr:col>3</xdr:col>
      <xdr:colOff>66675</xdr:colOff>
      <xdr:row>158</xdr:row>
      <xdr:rowOff>161925</xdr:rowOff>
    </xdr:to>
    <xdr:sp>
      <xdr:nvSpPr>
        <xdr:cNvPr id="2" name="Line 20"/>
        <xdr:cNvSpPr>
          <a:spLocks/>
        </xdr:cNvSpPr>
      </xdr:nvSpPr>
      <xdr:spPr>
        <a:xfrm>
          <a:off x="4638675" y="31565850"/>
          <a:ext cx="0" cy="933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171450</xdr:rowOff>
    </xdr:from>
    <xdr:to>
      <xdr:col>6</xdr:col>
      <xdr:colOff>638175</xdr:colOff>
      <xdr:row>154</xdr:row>
      <xdr:rowOff>171450</xdr:rowOff>
    </xdr:to>
    <xdr:sp>
      <xdr:nvSpPr>
        <xdr:cNvPr id="3" name="Line 19"/>
        <xdr:cNvSpPr>
          <a:spLocks/>
        </xdr:cNvSpPr>
      </xdr:nvSpPr>
      <xdr:spPr>
        <a:xfrm>
          <a:off x="3752850" y="31708725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153</xdr:row>
      <xdr:rowOff>171450</xdr:rowOff>
    </xdr:from>
    <xdr:to>
      <xdr:col>5</xdr:col>
      <xdr:colOff>114300</xdr:colOff>
      <xdr:row>158</xdr:row>
      <xdr:rowOff>171450</xdr:rowOff>
    </xdr:to>
    <xdr:sp>
      <xdr:nvSpPr>
        <xdr:cNvPr id="4" name="Line 21"/>
        <xdr:cNvSpPr>
          <a:spLocks/>
        </xdr:cNvSpPr>
      </xdr:nvSpPr>
      <xdr:spPr>
        <a:xfrm>
          <a:off x="5924550" y="31508700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167</xdr:row>
      <xdr:rowOff>180975</xdr:rowOff>
    </xdr:from>
    <xdr:to>
      <xdr:col>7</xdr:col>
      <xdr:colOff>9525</xdr:colOff>
      <xdr:row>174</xdr:row>
      <xdr:rowOff>180975</xdr:rowOff>
    </xdr:to>
    <xdr:sp>
      <xdr:nvSpPr>
        <xdr:cNvPr id="5" name="Texto 22"/>
        <xdr:cNvSpPr txBox="1">
          <a:spLocks noChangeArrowheads="1"/>
        </xdr:cNvSpPr>
      </xdr:nvSpPr>
      <xdr:spPr>
        <a:xfrm>
          <a:off x="3714750" y="34318575"/>
          <a:ext cx="3467100" cy="1400175"/>
        </a:xfrm>
        <a:prstGeom prst="rect">
          <a:avLst/>
        </a:prstGeom>
        <a:pattFill prst="ltVert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Distribución de tareas en el día:
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 horas                       4 horas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ayudante            descarga bolsas           limpia y prepara 
1 oficial                    manguerea                      frataza
1 oficial                        reglea               frataza / coloca guias
1 oficial                   colocan guías              colocan guias
</a:t>
          </a:r>
        </a:p>
      </xdr:txBody>
    </xdr:sp>
    <xdr:clientData/>
  </xdr:twoCellAnchor>
  <xdr:twoCellAnchor>
    <xdr:from>
      <xdr:col>3</xdr:col>
      <xdr:colOff>28575</xdr:colOff>
      <xdr:row>168</xdr:row>
      <xdr:rowOff>190500</xdr:rowOff>
    </xdr:from>
    <xdr:to>
      <xdr:col>3</xdr:col>
      <xdr:colOff>28575</xdr:colOff>
      <xdr:row>173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4600575" y="34528125"/>
          <a:ext cx="0" cy="933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169</xdr:row>
      <xdr:rowOff>190500</xdr:rowOff>
    </xdr:from>
    <xdr:to>
      <xdr:col>6</xdr:col>
      <xdr:colOff>647700</xdr:colOff>
      <xdr:row>169</xdr:row>
      <xdr:rowOff>190500</xdr:rowOff>
    </xdr:to>
    <xdr:sp>
      <xdr:nvSpPr>
        <xdr:cNvPr id="7" name="Line 24"/>
        <xdr:cNvSpPr>
          <a:spLocks/>
        </xdr:cNvSpPr>
      </xdr:nvSpPr>
      <xdr:spPr>
        <a:xfrm>
          <a:off x="3762375" y="3472815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168</xdr:row>
      <xdr:rowOff>171450</xdr:rowOff>
    </xdr:from>
    <xdr:to>
      <xdr:col>5</xdr:col>
      <xdr:colOff>57150</xdr:colOff>
      <xdr:row>173</xdr:row>
      <xdr:rowOff>171450</xdr:rowOff>
    </xdr:to>
    <xdr:sp>
      <xdr:nvSpPr>
        <xdr:cNvPr id="8" name="Line 25"/>
        <xdr:cNvSpPr>
          <a:spLocks/>
        </xdr:cNvSpPr>
      </xdr:nvSpPr>
      <xdr:spPr>
        <a:xfrm>
          <a:off x="5867400" y="34509075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187</xdr:row>
      <xdr:rowOff>9525</xdr:rowOff>
    </xdr:from>
    <xdr:to>
      <xdr:col>7</xdr:col>
      <xdr:colOff>0</xdr:colOff>
      <xdr:row>194</xdr:row>
      <xdr:rowOff>0</xdr:rowOff>
    </xdr:to>
    <xdr:sp>
      <xdr:nvSpPr>
        <xdr:cNvPr id="9" name="Texto 26"/>
        <xdr:cNvSpPr txBox="1">
          <a:spLocks noChangeArrowheads="1"/>
        </xdr:cNvSpPr>
      </xdr:nvSpPr>
      <xdr:spPr>
        <a:xfrm>
          <a:off x="3705225" y="38166675"/>
          <a:ext cx="3467100" cy="1390650"/>
        </a:xfrm>
        <a:prstGeom prst="rect">
          <a:avLst/>
        </a:prstGeom>
        <a:pattFill prst="ltVert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Distribución de tareas en el día:
                                 4,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 horas                       4,5 horas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ayudante            descarga bolsas           limpia y prepara 
1 oficial                    manguerea                      frataza
3 oficiales                   reglean                        fratazan
3 oficiales               colocan guías              colocan guias
</a:t>
          </a:r>
        </a:p>
      </xdr:txBody>
    </xdr:sp>
    <xdr:clientData/>
  </xdr:twoCellAnchor>
  <xdr:twoCellAnchor>
    <xdr:from>
      <xdr:col>3</xdr:col>
      <xdr:colOff>19050</xdr:colOff>
      <xdr:row>188</xdr:row>
      <xdr:rowOff>19050</xdr:rowOff>
    </xdr:from>
    <xdr:to>
      <xdr:col>3</xdr:col>
      <xdr:colOff>19050</xdr:colOff>
      <xdr:row>192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4591050" y="38376225"/>
          <a:ext cx="0" cy="933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189</xdr:row>
      <xdr:rowOff>19050</xdr:rowOff>
    </xdr:from>
    <xdr:to>
      <xdr:col>6</xdr:col>
      <xdr:colOff>638175</xdr:colOff>
      <xdr:row>189</xdr:row>
      <xdr:rowOff>19050</xdr:rowOff>
    </xdr:to>
    <xdr:sp>
      <xdr:nvSpPr>
        <xdr:cNvPr id="11" name="Line 28"/>
        <xdr:cNvSpPr>
          <a:spLocks/>
        </xdr:cNvSpPr>
      </xdr:nvSpPr>
      <xdr:spPr>
        <a:xfrm>
          <a:off x="3752850" y="3857625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188</xdr:row>
      <xdr:rowOff>0</xdr:rowOff>
    </xdr:from>
    <xdr:to>
      <xdr:col>5</xdr:col>
      <xdr:colOff>47625</xdr:colOff>
      <xdr:row>193</xdr:row>
      <xdr:rowOff>0</xdr:rowOff>
    </xdr:to>
    <xdr:sp>
      <xdr:nvSpPr>
        <xdr:cNvPr id="12" name="Line 29"/>
        <xdr:cNvSpPr>
          <a:spLocks/>
        </xdr:cNvSpPr>
      </xdr:nvSpPr>
      <xdr:spPr>
        <a:xfrm>
          <a:off x="5857875" y="38357175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200</xdr:row>
      <xdr:rowOff>9525</xdr:rowOff>
    </xdr:from>
    <xdr:to>
      <xdr:col>7</xdr:col>
      <xdr:colOff>0</xdr:colOff>
      <xdr:row>207</xdr:row>
      <xdr:rowOff>0</xdr:rowOff>
    </xdr:to>
    <xdr:sp>
      <xdr:nvSpPr>
        <xdr:cNvPr id="13" name="Texto 34"/>
        <xdr:cNvSpPr txBox="1">
          <a:spLocks noChangeArrowheads="1"/>
        </xdr:cNvSpPr>
      </xdr:nvSpPr>
      <xdr:spPr>
        <a:xfrm>
          <a:off x="3705225" y="40767000"/>
          <a:ext cx="3467100" cy="1390650"/>
        </a:xfrm>
        <a:prstGeom prst="rect">
          <a:avLst/>
        </a:prstGeom>
        <a:pattFill prst="ltVert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Distribución de tareas en el día:
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 horas                       4 horas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ayudante            descarga bolsas           limpia y prepara 
1 oficial                    manguerea                      frataza
1 oficial                       reglea               frataza / coloca guias
1 oficial                   coloca guías               coloca guias
</a:t>
          </a:r>
        </a:p>
      </xdr:txBody>
    </xdr:sp>
    <xdr:clientData/>
  </xdr:twoCellAnchor>
  <xdr:twoCellAnchor>
    <xdr:from>
      <xdr:col>3</xdr:col>
      <xdr:colOff>19050</xdr:colOff>
      <xdr:row>201</xdr:row>
      <xdr:rowOff>19050</xdr:rowOff>
    </xdr:from>
    <xdr:to>
      <xdr:col>3</xdr:col>
      <xdr:colOff>19050</xdr:colOff>
      <xdr:row>205</xdr:row>
      <xdr:rowOff>152400</xdr:rowOff>
    </xdr:to>
    <xdr:sp>
      <xdr:nvSpPr>
        <xdr:cNvPr id="14" name="Line 35"/>
        <xdr:cNvSpPr>
          <a:spLocks/>
        </xdr:cNvSpPr>
      </xdr:nvSpPr>
      <xdr:spPr>
        <a:xfrm>
          <a:off x="4591050" y="40976550"/>
          <a:ext cx="0" cy="933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202</xdr:row>
      <xdr:rowOff>19050</xdr:rowOff>
    </xdr:from>
    <xdr:to>
      <xdr:col>6</xdr:col>
      <xdr:colOff>638175</xdr:colOff>
      <xdr:row>202</xdr:row>
      <xdr:rowOff>19050</xdr:rowOff>
    </xdr:to>
    <xdr:sp>
      <xdr:nvSpPr>
        <xdr:cNvPr id="15" name="Line 36"/>
        <xdr:cNvSpPr>
          <a:spLocks/>
        </xdr:cNvSpPr>
      </xdr:nvSpPr>
      <xdr:spPr>
        <a:xfrm>
          <a:off x="3752850" y="41176575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201</xdr:row>
      <xdr:rowOff>0</xdr:rowOff>
    </xdr:from>
    <xdr:to>
      <xdr:col>5</xdr:col>
      <xdr:colOff>47625</xdr:colOff>
      <xdr:row>206</xdr:row>
      <xdr:rowOff>0</xdr:rowOff>
    </xdr:to>
    <xdr:sp>
      <xdr:nvSpPr>
        <xdr:cNvPr id="16" name="Line 37"/>
        <xdr:cNvSpPr>
          <a:spLocks/>
        </xdr:cNvSpPr>
      </xdr:nvSpPr>
      <xdr:spPr>
        <a:xfrm>
          <a:off x="5857875" y="40957500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3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F136" sqref="F136"/>
    </sheetView>
  </sheetViews>
  <sheetFormatPr defaultColWidth="11.421875" defaultRowHeight="12.75"/>
  <cols>
    <col min="1" max="1" width="50.140625" style="0" customWidth="1"/>
    <col min="2" max="2" width="5.57421875" style="0" customWidth="1"/>
    <col min="3" max="3" width="8.140625" style="0" customWidth="1"/>
    <col min="4" max="4" width="8.421875" style="0" customWidth="1"/>
    <col min="5" max="6" width="9.28125" style="0" customWidth="1"/>
    <col min="7" max="7" width="10.57421875" style="0" customWidth="1"/>
    <col min="8" max="8" width="9.7109375" style="0" customWidth="1"/>
    <col min="9" max="9" width="10.8515625" style="0" customWidth="1"/>
    <col min="10" max="10" width="20.28125" style="104" customWidth="1"/>
    <col min="11" max="15" width="11.421875" style="21" customWidth="1"/>
    <col min="16" max="16" width="11.28125" style="21" customWidth="1"/>
    <col min="17" max="34" width="11.421875" style="21" customWidth="1"/>
  </cols>
  <sheetData>
    <row r="1" spans="1:10" ht="16.5" thickBot="1">
      <c r="A1" s="295" t="s">
        <v>213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34" s="108" customFormat="1" ht="64.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98" t="s">
        <v>223</v>
      </c>
      <c r="K2" s="243"/>
      <c r="L2" s="243"/>
      <c r="M2" s="243"/>
      <c r="N2" s="243"/>
      <c r="O2" s="243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15" ht="16.5" thickTop="1">
      <c r="A3" s="171">
        <v>1.1</v>
      </c>
      <c r="B3" s="125"/>
      <c r="C3" s="125"/>
      <c r="D3" s="126"/>
      <c r="E3" s="126"/>
      <c r="F3" s="126"/>
      <c r="G3" s="125"/>
      <c r="H3" s="126"/>
      <c r="I3" s="125"/>
      <c r="J3" s="146"/>
      <c r="K3" s="243"/>
      <c r="L3" s="243"/>
      <c r="M3" s="243"/>
      <c r="N3" s="243"/>
      <c r="O3" s="243"/>
    </row>
    <row r="4" spans="1:15" ht="15.75">
      <c r="A4" s="179" t="s">
        <v>224</v>
      </c>
      <c r="B4" s="125"/>
      <c r="C4" s="125"/>
      <c r="D4" s="126"/>
      <c r="E4" s="126"/>
      <c r="F4" s="126"/>
      <c r="G4" s="125"/>
      <c r="H4" s="126"/>
      <c r="I4" s="125"/>
      <c r="J4" s="244"/>
      <c r="K4" s="243"/>
      <c r="L4" s="243"/>
      <c r="M4" s="243"/>
      <c r="N4" s="243"/>
      <c r="O4" s="243"/>
    </row>
    <row r="5" spans="1:15" ht="15.75">
      <c r="A5" s="179" t="s">
        <v>225</v>
      </c>
      <c r="B5" s="125"/>
      <c r="C5" s="125"/>
      <c r="D5" s="126"/>
      <c r="E5" s="126"/>
      <c r="F5" s="126"/>
      <c r="G5" s="125"/>
      <c r="H5" s="126"/>
      <c r="I5" s="125"/>
      <c r="J5" s="244"/>
      <c r="K5" s="243"/>
      <c r="L5" s="243"/>
      <c r="M5" s="243"/>
      <c r="N5" s="243"/>
      <c r="O5" s="243"/>
    </row>
    <row r="6" spans="1:15" ht="15.75">
      <c r="A6" s="179" t="s">
        <v>226</v>
      </c>
      <c r="B6" s="124"/>
      <c r="C6" s="124"/>
      <c r="D6" s="141"/>
      <c r="E6" s="141"/>
      <c r="F6" s="141"/>
      <c r="G6" s="124"/>
      <c r="H6" s="141"/>
      <c r="I6" s="124"/>
      <c r="J6" s="244"/>
      <c r="K6" s="243"/>
      <c r="L6" s="243"/>
      <c r="M6" s="243"/>
      <c r="N6" s="243"/>
      <c r="O6" s="243"/>
    </row>
    <row r="7" spans="1:34" s="1" customFormat="1" ht="15.75">
      <c r="A7" s="174" t="s">
        <v>227</v>
      </c>
      <c r="B7" s="3"/>
      <c r="C7" s="2" t="s">
        <v>228</v>
      </c>
      <c r="D7" s="2" t="s">
        <v>229</v>
      </c>
      <c r="E7" s="3">
        <v>2.16</v>
      </c>
      <c r="F7" s="13">
        <f>+C144</f>
        <v>4.38</v>
      </c>
      <c r="G7" s="14"/>
      <c r="H7" s="264">
        <f>E7*F7</f>
        <v>9.4608</v>
      </c>
      <c r="I7" s="270">
        <f>E7*F7</f>
        <v>9.4608</v>
      </c>
      <c r="J7" s="24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08" customFormat="1" ht="16.5" thickBot="1">
      <c r="A8" s="204"/>
      <c r="B8" s="8"/>
      <c r="C8" s="7"/>
      <c r="D8" s="7"/>
      <c r="E8" s="8"/>
      <c r="F8" s="9"/>
      <c r="G8" s="67">
        <v>0</v>
      </c>
      <c r="H8" s="252">
        <f>E7*F7</f>
        <v>9.4608</v>
      </c>
      <c r="I8" s="88"/>
      <c r="J8" s="10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10" ht="16.5" thickTop="1">
      <c r="A9" s="177">
        <v>1.2</v>
      </c>
      <c r="B9" s="3"/>
      <c r="C9" s="2"/>
      <c r="D9" s="2"/>
      <c r="E9" s="3"/>
      <c r="F9" s="13"/>
      <c r="G9" s="85"/>
      <c r="H9" s="85"/>
      <c r="I9" s="95"/>
      <c r="J9" s="241"/>
    </row>
    <row r="10" spans="1:10" ht="15.75">
      <c r="A10" s="173" t="s">
        <v>230</v>
      </c>
      <c r="B10" s="3"/>
      <c r="C10" s="2"/>
      <c r="D10" s="2"/>
      <c r="E10" s="3"/>
      <c r="F10" s="13"/>
      <c r="G10" s="85"/>
      <c r="H10" s="85"/>
      <c r="I10" s="95"/>
      <c r="J10" s="241"/>
    </row>
    <row r="11" spans="1:10" ht="15.75">
      <c r="A11" s="173" t="s">
        <v>231</v>
      </c>
      <c r="B11" s="3"/>
      <c r="C11" s="2"/>
      <c r="D11" s="2"/>
      <c r="E11" s="3"/>
      <c r="F11" s="13"/>
      <c r="G11" s="85"/>
      <c r="H11" s="85"/>
      <c r="I11" s="95"/>
      <c r="J11" s="241"/>
    </row>
    <row r="12" spans="1:10" ht="15.75">
      <c r="A12" s="173" t="s">
        <v>232</v>
      </c>
      <c r="B12" s="3"/>
      <c r="C12" s="2"/>
      <c r="D12" s="2"/>
      <c r="E12" s="3"/>
      <c r="F12" s="13"/>
      <c r="G12" s="85"/>
      <c r="H12" s="85"/>
      <c r="I12" s="95"/>
      <c r="J12" s="241"/>
    </row>
    <row r="13" spans="1:34" s="1" customFormat="1" ht="15.75">
      <c r="A13" s="174" t="s">
        <v>227</v>
      </c>
      <c r="C13" s="2" t="s">
        <v>228</v>
      </c>
      <c r="D13" s="2" t="s">
        <v>229</v>
      </c>
      <c r="E13" s="3">
        <v>2.54</v>
      </c>
      <c r="F13" s="13">
        <f>+C144</f>
        <v>4.38</v>
      </c>
      <c r="G13" s="4"/>
      <c r="H13" s="264">
        <f>E13*F13</f>
        <v>11.1252</v>
      </c>
      <c r="I13" s="270">
        <f>E13*F13</f>
        <v>11.1252</v>
      </c>
      <c r="J13" s="242" t="s">
        <v>233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10" ht="16.5" thickBot="1">
      <c r="A14" s="102"/>
      <c r="B14" s="6"/>
      <c r="C14" s="7"/>
      <c r="D14" s="7"/>
      <c r="E14" s="8"/>
      <c r="F14" s="9"/>
      <c r="G14" s="67">
        <v>0</v>
      </c>
      <c r="H14" s="67">
        <f>E13*F13</f>
        <v>11.1252</v>
      </c>
      <c r="I14" s="88"/>
      <c r="J14" s="103"/>
    </row>
    <row r="15" spans="1:10" ht="16.5" thickTop="1">
      <c r="A15" s="122">
        <v>1.3</v>
      </c>
      <c r="B15" s="1"/>
      <c r="C15" s="2"/>
      <c r="D15" s="2"/>
      <c r="E15" s="3"/>
      <c r="F15" s="13"/>
      <c r="G15" s="85"/>
      <c r="H15" s="85"/>
      <c r="I15" s="95"/>
      <c r="J15" s="241"/>
    </row>
    <row r="16" spans="1:10" ht="15.75">
      <c r="A16" s="173" t="s">
        <v>234</v>
      </c>
      <c r="B16" s="1"/>
      <c r="C16" s="2"/>
      <c r="D16" s="2"/>
      <c r="E16" s="3"/>
      <c r="F16" s="13"/>
      <c r="G16" s="85"/>
      <c r="H16" s="85"/>
      <c r="I16" s="95"/>
      <c r="J16" s="241"/>
    </row>
    <row r="17" spans="1:10" ht="15.75">
      <c r="A17" s="123" t="s">
        <v>235</v>
      </c>
      <c r="B17" s="1"/>
      <c r="C17" s="2"/>
      <c r="D17" s="2"/>
      <c r="E17" s="3"/>
      <c r="F17" s="13"/>
      <c r="G17" s="85"/>
      <c r="H17" s="85"/>
      <c r="I17" s="95"/>
      <c r="J17" s="241"/>
    </row>
    <row r="18" spans="1:10" ht="15.75">
      <c r="A18" s="173" t="s">
        <v>232</v>
      </c>
      <c r="B18" s="1"/>
      <c r="C18" s="2"/>
      <c r="D18" s="2"/>
      <c r="E18" s="3"/>
      <c r="F18" s="13"/>
      <c r="G18" s="85"/>
      <c r="H18" s="85"/>
      <c r="I18" s="95"/>
      <c r="J18" s="241"/>
    </row>
    <row r="19" spans="1:34" s="1" customFormat="1" ht="15.75">
      <c r="A19" s="189" t="s">
        <v>227</v>
      </c>
      <c r="C19" s="2" t="s">
        <v>228</v>
      </c>
      <c r="D19" s="2" t="s">
        <v>229</v>
      </c>
      <c r="E19" s="3">
        <v>3.03</v>
      </c>
      <c r="F19" s="13">
        <f>+C144</f>
        <v>4.38</v>
      </c>
      <c r="G19" s="4"/>
      <c r="H19" s="264">
        <f>E19*F19</f>
        <v>13.271399999999998</v>
      </c>
      <c r="I19" s="270">
        <f>E19*F19</f>
        <v>13.271399999999998</v>
      </c>
      <c r="J19" s="5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10" ht="16.5" thickBot="1">
      <c r="A20" s="237"/>
      <c r="B20" s="6"/>
      <c r="C20" s="7"/>
      <c r="D20" s="7"/>
      <c r="E20" s="8"/>
      <c r="F20" s="9"/>
      <c r="G20" s="67">
        <v>0</v>
      </c>
      <c r="H20" s="67">
        <f>E19*F19</f>
        <v>13.271399999999998</v>
      </c>
      <c r="I20" s="88"/>
      <c r="J20" s="103"/>
    </row>
    <row r="21" spans="1:10" ht="16.5" thickTop="1">
      <c r="A21" s="238">
        <v>1.4</v>
      </c>
      <c r="B21" s="1"/>
      <c r="C21" s="2"/>
      <c r="D21" s="2"/>
      <c r="E21" s="3"/>
      <c r="F21" s="13"/>
      <c r="G21" s="85"/>
      <c r="H21" s="85"/>
      <c r="I21" s="95"/>
      <c r="J21" s="241"/>
    </row>
    <row r="22" spans="1:10" ht="15.75">
      <c r="A22" s="239" t="s">
        <v>236</v>
      </c>
      <c r="B22" s="1"/>
      <c r="C22" s="2"/>
      <c r="D22" s="2"/>
      <c r="E22" s="3"/>
      <c r="F22" s="13"/>
      <c r="G22" s="85"/>
      <c r="H22" s="85"/>
      <c r="I22" s="95"/>
      <c r="J22" s="241"/>
    </row>
    <row r="23" spans="1:10" ht="15.75">
      <c r="A23" s="239" t="s">
        <v>237</v>
      </c>
      <c r="B23" s="1"/>
      <c r="C23" s="2"/>
      <c r="D23" s="2"/>
      <c r="E23" s="3"/>
      <c r="F23" s="13"/>
      <c r="G23" s="85"/>
      <c r="H23" s="85"/>
      <c r="I23" s="95"/>
      <c r="J23" s="241"/>
    </row>
    <row r="24" spans="1:34" s="1" customFormat="1" ht="15.75">
      <c r="A24" s="239" t="s">
        <v>232</v>
      </c>
      <c r="C24" s="2"/>
      <c r="D24" s="2"/>
      <c r="E24" s="3"/>
      <c r="F24" s="13"/>
      <c r="G24" s="85"/>
      <c r="H24" s="85"/>
      <c r="I24" s="95"/>
      <c r="J24" s="24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ht="15.75">
      <c r="A25" s="174" t="s">
        <v>227</v>
      </c>
      <c r="C25" s="2" t="s">
        <v>228</v>
      </c>
      <c r="D25" s="2" t="s">
        <v>229</v>
      </c>
      <c r="E25" s="3">
        <v>3.6</v>
      </c>
      <c r="F25" s="13">
        <f>+C144</f>
        <v>4.38</v>
      </c>
      <c r="G25" s="4"/>
      <c r="H25" s="14">
        <f>E25*F25</f>
        <v>15.768</v>
      </c>
      <c r="I25" s="270">
        <f>E25*F25</f>
        <v>15.768</v>
      </c>
      <c r="J25" s="241" t="s">
        <v>238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10" ht="16.5" thickBot="1">
      <c r="A26" s="102"/>
      <c r="B26" s="6"/>
      <c r="C26" s="7"/>
      <c r="D26" s="7"/>
      <c r="E26" s="8"/>
      <c r="F26" s="9"/>
      <c r="G26" s="67">
        <v>0</v>
      </c>
      <c r="H26" s="67">
        <f>E25*F25</f>
        <v>15.768</v>
      </c>
      <c r="I26" s="88"/>
      <c r="J26" s="103"/>
    </row>
    <row r="27" spans="1:10" ht="16.5" thickTop="1">
      <c r="A27" s="122">
        <v>1.5</v>
      </c>
      <c r="B27" s="1"/>
      <c r="C27" s="2"/>
      <c r="D27" s="2"/>
      <c r="E27" s="3"/>
      <c r="F27" s="13"/>
      <c r="G27" s="85"/>
      <c r="H27" s="85"/>
      <c r="I27" s="95"/>
      <c r="J27" s="241"/>
    </row>
    <row r="28" spans="1:10" ht="15.75">
      <c r="A28" s="123" t="s">
        <v>239</v>
      </c>
      <c r="B28" s="1"/>
      <c r="C28" s="2"/>
      <c r="D28" s="2"/>
      <c r="E28" s="3"/>
      <c r="F28" s="13"/>
      <c r="G28" s="85"/>
      <c r="H28" s="85"/>
      <c r="I28" s="95"/>
      <c r="J28" s="241"/>
    </row>
    <row r="29" spans="1:10" ht="15.75">
      <c r="A29" s="123" t="s">
        <v>240</v>
      </c>
      <c r="B29" s="1"/>
      <c r="C29" s="2"/>
      <c r="D29" s="2"/>
      <c r="E29" s="3"/>
      <c r="F29" s="13"/>
      <c r="G29" s="85"/>
      <c r="H29" s="85"/>
      <c r="I29" s="95"/>
      <c r="J29" s="241"/>
    </row>
    <row r="30" spans="1:10" ht="15.75">
      <c r="A30" s="174" t="s">
        <v>227</v>
      </c>
      <c r="B30" s="1"/>
      <c r="C30" s="2" t="s">
        <v>228</v>
      </c>
      <c r="D30" s="2" t="s">
        <v>229</v>
      </c>
      <c r="E30" s="3">
        <v>0.84</v>
      </c>
      <c r="F30" s="13">
        <f>+C144</f>
        <v>4.38</v>
      </c>
      <c r="G30" s="4"/>
      <c r="H30" s="14">
        <f>E30*F30</f>
        <v>3.6792</v>
      </c>
      <c r="I30" s="95">
        <f>E30*F30</f>
        <v>3.6792</v>
      </c>
      <c r="J30" s="241"/>
    </row>
    <row r="31" spans="1:10" ht="16.5" thickBot="1">
      <c r="A31" s="102"/>
      <c r="B31" s="6"/>
      <c r="C31" s="7"/>
      <c r="D31" s="7"/>
      <c r="E31" s="8"/>
      <c r="F31" s="9"/>
      <c r="G31" s="67">
        <v>0</v>
      </c>
      <c r="H31" s="252">
        <f>E30*F30</f>
        <v>3.6792</v>
      </c>
      <c r="I31" s="88"/>
      <c r="J31" s="103"/>
    </row>
    <row r="32" spans="1:10" ht="16.5" thickTop="1">
      <c r="A32" s="122">
        <v>1.6</v>
      </c>
      <c r="B32" s="1"/>
      <c r="C32" s="2"/>
      <c r="D32" s="2"/>
      <c r="E32" s="3"/>
      <c r="F32" s="13"/>
      <c r="G32" s="85"/>
      <c r="H32" s="85"/>
      <c r="I32" s="95"/>
      <c r="J32" s="241"/>
    </row>
    <row r="33" spans="1:10" ht="15.75">
      <c r="A33" s="123" t="s">
        <v>241</v>
      </c>
      <c r="B33" s="1"/>
      <c r="C33" s="2"/>
      <c r="D33" s="2"/>
      <c r="E33" s="3"/>
      <c r="F33" s="13"/>
      <c r="G33" s="85"/>
      <c r="H33" s="85"/>
      <c r="I33" s="95"/>
      <c r="J33" s="241"/>
    </row>
    <row r="34" spans="1:10" ht="15.75">
      <c r="A34" s="123" t="s">
        <v>242</v>
      </c>
      <c r="B34" s="1"/>
      <c r="C34" s="2"/>
      <c r="D34" s="2"/>
      <c r="E34" s="3"/>
      <c r="F34" s="13"/>
      <c r="G34" s="85"/>
      <c r="H34" s="85"/>
      <c r="I34" s="95"/>
      <c r="J34" s="241"/>
    </row>
    <row r="35" spans="1:10" ht="15.75">
      <c r="A35" s="123" t="s">
        <v>243</v>
      </c>
      <c r="B35" s="1"/>
      <c r="C35" s="2"/>
      <c r="D35" s="2"/>
      <c r="E35" s="3"/>
      <c r="F35" s="13"/>
      <c r="G35" s="85"/>
      <c r="H35" s="85"/>
      <c r="I35" s="95"/>
      <c r="J35" s="241"/>
    </row>
    <row r="36" spans="1:10" ht="15.75">
      <c r="A36" s="174" t="s">
        <v>227</v>
      </c>
      <c r="B36" s="1"/>
      <c r="C36" s="2" t="s">
        <v>228</v>
      </c>
      <c r="D36" s="2" t="s">
        <v>229</v>
      </c>
      <c r="E36" s="3">
        <v>2.62</v>
      </c>
      <c r="F36" s="13">
        <f>+C144</f>
        <v>4.38</v>
      </c>
      <c r="G36" s="4"/>
      <c r="H36" s="14">
        <f>E36*F36</f>
        <v>11.4756</v>
      </c>
      <c r="I36" s="95">
        <f>E36*F36</f>
        <v>11.4756</v>
      </c>
      <c r="J36" s="241"/>
    </row>
    <row r="37" spans="1:10" ht="16.5" thickBot="1">
      <c r="A37" s="102"/>
      <c r="B37" s="6"/>
      <c r="C37" s="7"/>
      <c r="D37" s="7"/>
      <c r="E37" s="8"/>
      <c r="F37" s="9"/>
      <c r="G37" s="67">
        <v>0</v>
      </c>
      <c r="H37" s="252">
        <f>E36*F36</f>
        <v>11.4756</v>
      </c>
      <c r="I37" s="88"/>
      <c r="J37" s="103"/>
    </row>
    <row r="38" spans="1:10" ht="16.5" thickTop="1">
      <c r="A38" s="122">
        <v>1.7</v>
      </c>
      <c r="B38" s="1"/>
      <c r="C38" s="2"/>
      <c r="D38" s="2"/>
      <c r="E38" s="3"/>
      <c r="F38" s="13"/>
      <c r="G38" s="85"/>
      <c r="H38" s="85"/>
      <c r="I38" s="95"/>
      <c r="J38" s="241"/>
    </row>
    <row r="39" spans="1:10" ht="15.75">
      <c r="A39" s="123" t="s">
        <v>244</v>
      </c>
      <c r="B39" s="1"/>
      <c r="C39" s="2"/>
      <c r="D39" s="2"/>
      <c r="E39" s="3"/>
      <c r="F39" s="13"/>
      <c r="G39" s="85"/>
      <c r="H39" s="85"/>
      <c r="I39" s="95"/>
      <c r="J39" s="241"/>
    </row>
    <row r="40" spans="1:10" ht="15.75">
      <c r="A40" s="123" t="s">
        <v>245</v>
      </c>
      <c r="B40" s="1"/>
      <c r="C40" s="2"/>
      <c r="D40" s="2"/>
      <c r="E40" s="3"/>
      <c r="F40" s="13"/>
      <c r="G40" s="85"/>
      <c r="H40" s="85"/>
      <c r="I40" s="95"/>
      <c r="J40" s="241"/>
    </row>
    <row r="41" spans="1:10" ht="15.75">
      <c r="A41" s="123" t="s">
        <v>246</v>
      </c>
      <c r="B41" s="1"/>
      <c r="C41" s="2"/>
      <c r="D41" s="2"/>
      <c r="E41" s="3"/>
      <c r="F41" s="13"/>
      <c r="G41" s="85"/>
      <c r="H41" s="85"/>
      <c r="I41" s="95"/>
      <c r="J41" s="241"/>
    </row>
    <row r="42" spans="1:10" ht="15.75">
      <c r="A42" s="174" t="s">
        <v>227</v>
      </c>
      <c r="B42" s="1"/>
      <c r="C42" s="2" t="s">
        <v>228</v>
      </c>
      <c r="D42" s="2" t="s">
        <v>229</v>
      </c>
      <c r="E42" s="3">
        <v>3.39</v>
      </c>
      <c r="F42" s="13">
        <f>+C144</f>
        <v>4.38</v>
      </c>
      <c r="G42" s="4"/>
      <c r="H42" s="264">
        <f>E42*F42</f>
        <v>14.8482</v>
      </c>
      <c r="I42" s="270">
        <f>E42*F42</f>
        <v>14.8482</v>
      </c>
      <c r="J42" s="241"/>
    </row>
    <row r="43" spans="1:10" ht="16.5" thickBot="1">
      <c r="A43" s="102" t="s">
        <v>238</v>
      </c>
      <c r="B43" s="6"/>
      <c r="C43" s="7"/>
      <c r="D43" s="7"/>
      <c r="E43" s="8"/>
      <c r="F43" s="9"/>
      <c r="G43" s="67">
        <v>0</v>
      </c>
      <c r="H43" s="67">
        <f>E42*F42</f>
        <v>14.8482</v>
      </c>
      <c r="I43" s="88"/>
      <c r="J43" s="103"/>
    </row>
    <row r="44" spans="1:10" ht="16.5" thickTop="1">
      <c r="A44" s="135">
        <v>1.8</v>
      </c>
      <c r="B44" s="1"/>
      <c r="C44" s="2"/>
      <c r="D44" s="2"/>
      <c r="E44" s="3"/>
      <c r="F44" s="13"/>
      <c r="G44" s="85"/>
      <c r="H44" s="85"/>
      <c r="I44" s="95"/>
      <c r="J44" s="241"/>
    </row>
    <row r="45" spans="1:10" ht="15.75">
      <c r="A45" s="123" t="s">
        <v>247</v>
      </c>
      <c r="B45" s="1"/>
      <c r="C45" s="2"/>
      <c r="D45" s="2"/>
      <c r="E45" s="3"/>
      <c r="F45" s="13"/>
      <c r="G45" s="85"/>
      <c r="H45" s="85"/>
      <c r="I45" s="95"/>
      <c r="J45" s="241"/>
    </row>
    <row r="46" spans="1:10" ht="15.75">
      <c r="A46" s="123" t="s">
        <v>248</v>
      </c>
      <c r="B46" s="1"/>
      <c r="C46" s="2"/>
      <c r="D46" s="2"/>
      <c r="E46" s="3"/>
      <c r="F46" s="13"/>
      <c r="G46" s="85"/>
      <c r="H46" s="85"/>
      <c r="I46" s="95"/>
      <c r="J46" s="241"/>
    </row>
    <row r="47" spans="1:10" ht="15.75">
      <c r="A47" s="123" t="s">
        <v>249</v>
      </c>
      <c r="B47" s="1"/>
      <c r="C47" s="2"/>
      <c r="D47" s="2"/>
      <c r="E47" s="3"/>
      <c r="F47" s="13"/>
      <c r="G47" s="85"/>
      <c r="H47" s="85"/>
      <c r="I47" s="95"/>
      <c r="J47" s="241"/>
    </row>
    <row r="48" spans="1:10" ht="15.75">
      <c r="A48" s="174" t="s">
        <v>227</v>
      </c>
      <c r="B48" s="1"/>
      <c r="C48" s="2" t="s">
        <v>228</v>
      </c>
      <c r="D48" s="2" t="s">
        <v>229</v>
      </c>
      <c r="E48" s="3">
        <v>1.11</v>
      </c>
      <c r="F48" s="13">
        <f>+C144</f>
        <v>4.38</v>
      </c>
      <c r="G48" s="4"/>
      <c r="H48" s="264">
        <f>E48*F48</f>
        <v>4.861800000000001</v>
      </c>
      <c r="I48" s="270">
        <f>E48*F48</f>
        <v>4.861800000000001</v>
      </c>
      <c r="J48" s="242"/>
    </row>
    <row r="49" spans="1:10" ht="16.5" thickBot="1">
      <c r="A49" s="102" t="s">
        <v>238</v>
      </c>
      <c r="B49" s="6"/>
      <c r="C49" s="7"/>
      <c r="D49" s="7"/>
      <c r="E49" s="8"/>
      <c r="F49" s="9"/>
      <c r="G49" s="67">
        <v>0</v>
      </c>
      <c r="H49" s="252">
        <f>E48*F48</f>
        <v>4.861800000000001</v>
      </c>
      <c r="I49" s="88"/>
      <c r="J49" s="103"/>
    </row>
    <row r="50" spans="1:10" ht="16.5" thickTop="1">
      <c r="A50" s="122">
        <v>1.9</v>
      </c>
      <c r="B50" s="1"/>
      <c r="C50" s="2"/>
      <c r="D50" s="2"/>
      <c r="E50" s="3"/>
      <c r="F50" s="13"/>
      <c r="G50" s="85"/>
      <c r="H50" s="85"/>
      <c r="I50" s="95"/>
      <c r="J50" s="241"/>
    </row>
    <row r="51" spans="1:10" ht="15.75">
      <c r="A51" s="123" t="s">
        <v>250</v>
      </c>
      <c r="B51" s="1"/>
      <c r="C51" s="2"/>
      <c r="D51" s="2"/>
      <c r="E51" s="3"/>
      <c r="F51" s="13"/>
      <c r="G51" s="85"/>
      <c r="H51" s="85"/>
      <c r="I51" s="95"/>
      <c r="J51" s="241"/>
    </row>
    <row r="52" spans="1:10" ht="15.75">
      <c r="A52" s="123" t="s">
        <v>251</v>
      </c>
      <c r="B52" s="1"/>
      <c r="C52" s="2"/>
      <c r="D52" s="2"/>
      <c r="E52" s="3"/>
      <c r="F52" s="13"/>
      <c r="G52" s="85"/>
      <c r="H52" s="85"/>
      <c r="I52" s="95"/>
      <c r="J52" s="241"/>
    </row>
    <row r="53" spans="1:10" ht="15.75">
      <c r="A53" s="123" t="s">
        <v>252</v>
      </c>
      <c r="B53" s="1"/>
      <c r="C53" s="2"/>
      <c r="D53" s="2"/>
      <c r="E53" s="3"/>
      <c r="F53" s="13"/>
      <c r="G53" s="85"/>
      <c r="H53" s="85"/>
      <c r="I53" s="95"/>
      <c r="J53" s="241"/>
    </row>
    <row r="54" spans="1:10" ht="15.75">
      <c r="A54" s="174" t="s">
        <v>227</v>
      </c>
      <c r="B54" s="1"/>
      <c r="C54" s="2" t="s">
        <v>228</v>
      </c>
      <c r="D54" s="2" t="s">
        <v>229</v>
      </c>
      <c r="E54" s="3">
        <v>0.9</v>
      </c>
      <c r="F54" s="13">
        <f>+C144</f>
        <v>4.38</v>
      </c>
      <c r="G54" s="4"/>
      <c r="H54" s="14">
        <f>E54*F54</f>
        <v>3.942</v>
      </c>
      <c r="I54" s="95">
        <f>E54*F54</f>
        <v>3.942</v>
      </c>
      <c r="J54" s="241"/>
    </row>
    <row r="55" spans="1:10" ht="16.5" thickBot="1">
      <c r="A55" s="102"/>
      <c r="B55" s="6"/>
      <c r="C55" s="7"/>
      <c r="D55" s="7"/>
      <c r="E55" s="8"/>
      <c r="F55" s="9"/>
      <c r="G55" s="67">
        <v>0</v>
      </c>
      <c r="H55" s="252">
        <f>E54*F54</f>
        <v>3.942</v>
      </c>
      <c r="I55" s="88"/>
      <c r="J55" s="103"/>
    </row>
    <row r="56" spans="1:10" ht="16.5" thickTop="1">
      <c r="A56" s="129">
        <v>1.1</v>
      </c>
      <c r="B56" s="1"/>
      <c r="C56" s="2"/>
      <c r="D56" s="2"/>
      <c r="E56" s="3"/>
      <c r="F56" s="13"/>
      <c r="G56" s="85"/>
      <c r="H56" s="85"/>
      <c r="I56" s="95"/>
      <c r="J56" s="241"/>
    </row>
    <row r="57" spans="1:10" ht="15.75">
      <c r="A57" s="123" t="s">
        <v>253</v>
      </c>
      <c r="B57" s="1"/>
      <c r="C57" s="2"/>
      <c r="D57" s="2"/>
      <c r="E57" s="3"/>
      <c r="F57" s="13"/>
      <c r="G57" s="85"/>
      <c r="H57" s="85"/>
      <c r="I57" s="95"/>
      <c r="J57" s="241"/>
    </row>
    <row r="58" spans="1:10" ht="15.75">
      <c r="A58" s="123" t="s">
        <v>254</v>
      </c>
      <c r="B58" s="1"/>
      <c r="C58" s="2"/>
      <c r="D58" s="2"/>
      <c r="E58" s="3"/>
      <c r="F58" s="13"/>
      <c r="G58" s="85"/>
      <c r="H58" s="85"/>
      <c r="I58" s="95"/>
      <c r="J58" s="241"/>
    </row>
    <row r="59" spans="1:10" ht="15.75">
      <c r="A59" s="123" t="s">
        <v>255</v>
      </c>
      <c r="B59" s="1"/>
      <c r="C59" s="2"/>
      <c r="D59" s="2"/>
      <c r="E59" s="3"/>
      <c r="F59" s="13"/>
      <c r="G59" s="85"/>
      <c r="H59" s="85"/>
      <c r="I59" s="95"/>
      <c r="J59" s="241"/>
    </row>
    <row r="60" spans="1:10" ht="15.75">
      <c r="A60" s="123" t="s">
        <v>256</v>
      </c>
      <c r="B60" s="1"/>
      <c r="C60" s="2"/>
      <c r="D60" s="2"/>
      <c r="E60" s="3"/>
      <c r="F60" s="13"/>
      <c r="G60" s="85"/>
      <c r="H60" s="85"/>
      <c r="I60" s="95"/>
      <c r="J60" s="241"/>
    </row>
    <row r="61" spans="1:10" ht="15.75">
      <c r="A61" s="123" t="s">
        <v>257</v>
      </c>
      <c r="B61" s="1"/>
      <c r="C61" s="2"/>
      <c r="D61" s="2"/>
      <c r="E61" s="3"/>
      <c r="F61" s="13"/>
      <c r="G61" s="85"/>
      <c r="H61" s="85"/>
      <c r="I61" s="95"/>
      <c r="J61" s="241"/>
    </row>
    <row r="62" spans="1:10" ht="15.75">
      <c r="A62" s="174" t="s">
        <v>227</v>
      </c>
      <c r="B62" s="1"/>
      <c r="C62" s="2" t="s">
        <v>228</v>
      </c>
      <c r="D62" s="2" t="s">
        <v>229</v>
      </c>
      <c r="E62" s="3">
        <v>4.52</v>
      </c>
      <c r="F62" s="13">
        <f>+C144</f>
        <v>4.38</v>
      </c>
      <c r="G62" s="4"/>
      <c r="H62" s="14">
        <f>E62*F62</f>
        <v>19.7976</v>
      </c>
      <c r="I62" s="95">
        <f>E62*F62</f>
        <v>19.7976</v>
      </c>
      <c r="J62" s="241"/>
    </row>
    <row r="63" spans="1:10" ht="16.5" thickBot="1">
      <c r="A63" s="102"/>
      <c r="B63" s="6"/>
      <c r="C63" s="7"/>
      <c r="D63" s="7"/>
      <c r="E63" s="8"/>
      <c r="F63" s="9"/>
      <c r="G63" s="67">
        <v>0</v>
      </c>
      <c r="H63" s="67">
        <f>E62*F62</f>
        <v>19.7976</v>
      </c>
      <c r="I63" s="88"/>
      <c r="J63" s="103"/>
    </row>
    <row r="64" spans="1:10" ht="16.5" thickTop="1">
      <c r="A64" s="122">
        <v>1.11</v>
      </c>
      <c r="B64" s="1"/>
      <c r="C64" s="2"/>
      <c r="D64" s="2"/>
      <c r="E64" s="3"/>
      <c r="F64" s="13"/>
      <c r="G64" s="85"/>
      <c r="H64" s="85"/>
      <c r="I64" s="95"/>
      <c r="J64" s="241"/>
    </row>
    <row r="65" spans="1:10" ht="15.75">
      <c r="A65" s="123" t="s">
        <v>258</v>
      </c>
      <c r="B65" s="1"/>
      <c r="C65" s="2"/>
      <c r="D65" s="2"/>
      <c r="E65" s="3"/>
      <c r="F65" s="13"/>
      <c r="G65" s="85"/>
      <c r="H65" s="85"/>
      <c r="I65" s="95"/>
      <c r="J65" s="241"/>
    </row>
    <row r="66" spans="1:10" ht="15.75">
      <c r="A66" s="123" t="s">
        <v>259</v>
      </c>
      <c r="B66" s="1"/>
      <c r="C66" s="2"/>
      <c r="D66" s="2"/>
      <c r="E66" s="3"/>
      <c r="F66" s="13"/>
      <c r="G66" s="85"/>
      <c r="H66" s="85"/>
      <c r="I66" s="95"/>
      <c r="J66" s="241"/>
    </row>
    <row r="67" spans="1:10" ht="15.75">
      <c r="A67" s="123" t="s">
        <v>260</v>
      </c>
      <c r="B67" s="1"/>
      <c r="C67" s="2"/>
      <c r="D67" s="2"/>
      <c r="E67" s="3"/>
      <c r="F67" s="13"/>
      <c r="G67" s="85"/>
      <c r="H67" s="85"/>
      <c r="I67" s="95"/>
      <c r="J67" s="241"/>
    </row>
    <row r="68" spans="1:10" ht="15.75">
      <c r="A68" s="123" t="s">
        <v>261</v>
      </c>
      <c r="B68" s="1"/>
      <c r="C68" s="2"/>
      <c r="D68" s="2"/>
      <c r="E68" s="3"/>
      <c r="F68" s="13"/>
      <c r="G68" s="85"/>
      <c r="H68" s="85"/>
      <c r="I68" s="95"/>
      <c r="J68" s="241"/>
    </row>
    <row r="69" spans="1:10" ht="15.75">
      <c r="A69" s="123" t="s">
        <v>257</v>
      </c>
      <c r="B69" s="1"/>
      <c r="C69" s="2"/>
      <c r="D69" s="2"/>
      <c r="E69" s="3"/>
      <c r="F69" s="13"/>
      <c r="G69" s="85"/>
      <c r="H69" s="85"/>
      <c r="I69" s="95"/>
      <c r="J69" s="241"/>
    </row>
    <row r="70" spans="1:10" ht="15.75">
      <c r="A70" s="174" t="s">
        <v>227</v>
      </c>
      <c r="B70" s="1"/>
      <c r="C70" s="2" t="s">
        <v>228</v>
      </c>
      <c r="D70" s="2" t="s">
        <v>229</v>
      </c>
      <c r="E70" s="3">
        <v>7.9</v>
      </c>
      <c r="F70" s="13">
        <f>+C144</f>
        <v>4.38</v>
      </c>
      <c r="G70" s="4"/>
      <c r="H70" s="14">
        <f>E70*F70</f>
        <v>34.602000000000004</v>
      </c>
      <c r="I70" s="95">
        <f>E70*F70</f>
        <v>34.602000000000004</v>
      </c>
      <c r="J70" s="241"/>
    </row>
    <row r="71" spans="1:10" ht="16.5" thickBot="1">
      <c r="A71" s="102"/>
      <c r="B71" s="6"/>
      <c r="C71" s="7"/>
      <c r="D71" s="7"/>
      <c r="E71" s="8"/>
      <c r="F71" s="9"/>
      <c r="G71" s="67">
        <v>0</v>
      </c>
      <c r="H71" s="67">
        <f>E70*F70</f>
        <v>34.602000000000004</v>
      </c>
      <c r="I71" s="88"/>
      <c r="J71" s="103"/>
    </row>
    <row r="72" spans="1:10" ht="16.5" thickTop="1">
      <c r="A72" s="122">
        <v>1.12</v>
      </c>
      <c r="B72" s="1"/>
      <c r="C72" s="2"/>
      <c r="D72" s="2"/>
      <c r="E72" s="3"/>
      <c r="F72" s="13"/>
      <c r="G72" s="85"/>
      <c r="H72" s="85"/>
      <c r="I72" s="95"/>
      <c r="J72" s="241"/>
    </row>
    <row r="73" spans="1:10" ht="15.75">
      <c r="A73" s="123" t="s">
        <v>262</v>
      </c>
      <c r="B73" s="1"/>
      <c r="C73" s="2"/>
      <c r="D73" s="2"/>
      <c r="E73" s="3"/>
      <c r="F73" s="13"/>
      <c r="G73" s="85"/>
      <c r="H73" s="85"/>
      <c r="I73" s="95"/>
      <c r="J73" s="241"/>
    </row>
    <row r="74" spans="1:10" ht="15.75">
      <c r="A74" s="123" t="s">
        <v>263</v>
      </c>
      <c r="B74" s="1"/>
      <c r="C74" s="2"/>
      <c r="D74" s="2"/>
      <c r="E74" s="3"/>
      <c r="F74" s="13"/>
      <c r="G74" s="85"/>
      <c r="H74" s="85"/>
      <c r="I74" s="95"/>
      <c r="J74" s="241"/>
    </row>
    <row r="75" spans="1:10" ht="15.75">
      <c r="A75" s="174" t="s">
        <v>227</v>
      </c>
      <c r="B75" s="1"/>
      <c r="C75" s="2" t="s">
        <v>228</v>
      </c>
      <c r="D75" s="2" t="s">
        <v>229</v>
      </c>
      <c r="E75" s="3">
        <v>1.43</v>
      </c>
      <c r="F75" s="13">
        <f>+C144</f>
        <v>4.38</v>
      </c>
      <c r="G75" s="4"/>
      <c r="H75" s="264">
        <f>E75*F75</f>
        <v>6.2634</v>
      </c>
      <c r="I75" s="270">
        <f>E75*F75</f>
        <v>6.2634</v>
      </c>
      <c r="J75" s="241"/>
    </row>
    <row r="76" spans="1:10" ht="16.5" thickBot="1">
      <c r="A76" s="102" t="s">
        <v>238</v>
      </c>
      <c r="B76" s="6"/>
      <c r="C76" s="7"/>
      <c r="D76" s="7"/>
      <c r="E76" s="8"/>
      <c r="F76" s="9"/>
      <c r="G76" s="67">
        <v>0</v>
      </c>
      <c r="H76" s="252">
        <f>E75*F75</f>
        <v>6.2634</v>
      </c>
      <c r="I76" s="88"/>
      <c r="J76" s="103"/>
    </row>
    <row r="77" spans="1:10" ht="16.5" thickTop="1">
      <c r="A77" s="122">
        <v>1.13</v>
      </c>
      <c r="B77" s="1"/>
      <c r="C77" s="2"/>
      <c r="D77" s="2"/>
      <c r="E77" s="3"/>
      <c r="F77" s="13"/>
      <c r="G77" s="85"/>
      <c r="H77" s="85"/>
      <c r="I77" s="95"/>
      <c r="J77" s="241"/>
    </row>
    <row r="78" spans="1:10" ht="15.75">
      <c r="A78" s="123" t="s">
        <v>264</v>
      </c>
      <c r="B78" s="1"/>
      <c r="C78" s="2"/>
      <c r="D78" s="2"/>
      <c r="E78" s="3"/>
      <c r="F78" s="13"/>
      <c r="G78" s="85"/>
      <c r="H78" s="85"/>
      <c r="I78" s="95"/>
      <c r="J78" s="241"/>
    </row>
    <row r="79" spans="1:10" ht="15.75">
      <c r="A79" s="123" t="s">
        <v>265</v>
      </c>
      <c r="B79" s="1"/>
      <c r="C79" s="2"/>
      <c r="D79" s="2"/>
      <c r="E79" s="3"/>
      <c r="F79" s="13"/>
      <c r="G79" s="85"/>
      <c r="H79" s="85"/>
      <c r="I79" s="95"/>
      <c r="J79" s="241"/>
    </row>
    <row r="80" spans="1:10" ht="15" customHeight="1">
      <c r="A80" s="177" t="s">
        <v>266</v>
      </c>
      <c r="B80" s="1"/>
      <c r="C80" s="2" t="s">
        <v>228</v>
      </c>
      <c r="D80" s="2" t="s">
        <v>229</v>
      </c>
      <c r="E80" s="3">
        <v>0.88</v>
      </c>
      <c r="F80" s="13">
        <f>+C144</f>
        <v>4.38</v>
      </c>
      <c r="G80" s="4"/>
      <c r="H80" s="264">
        <f>E80*F80</f>
        <v>3.8544</v>
      </c>
      <c r="I80" s="95"/>
      <c r="J80" s="241"/>
    </row>
    <row r="81" spans="1:10" ht="15.75">
      <c r="A81" s="122" t="s">
        <v>267</v>
      </c>
      <c r="B81" s="1"/>
      <c r="C81" s="2" t="s">
        <v>228</v>
      </c>
      <c r="D81" s="2" t="s">
        <v>229</v>
      </c>
      <c r="E81" s="3">
        <v>1.16</v>
      </c>
      <c r="F81" s="13">
        <f>+C144</f>
        <v>4.38</v>
      </c>
      <c r="G81" s="4"/>
      <c r="H81" s="264">
        <f>E81*F81</f>
        <v>5.080799999999999</v>
      </c>
      <c r="I81" s="95"/>
      <c r="J81" s="241"/>
    </row>
    <row r="82" spans="1:10" ht="16.5" thickBot="1">
      <c r="A82" s="102"/>
      <c r="B82" s="6"/>
      <c r="C82" s="7"/>
      <c r="D82" s="7"/>
      <c r="E82" s="8"/>
      <c r="F82" s="9"/>
      <c r="G82" s="67">
        <v>0</v>
      </c>
      <c r="H82" s="67"/>
      <c r="I82" s="88"/>
      <c r="J82" s="103"/>
    </row>
    <row r="83" spans="1:10" ht="16.5" thickTop="1">
      <c r="A83" s="122">
        <v>1.14</v>
      </c>
      <c r="B83" s="1"/>
      <c r="C83" s="2"/>
      <c r="D83" s="2"/>
      <c r="E83" s="3"/>
      <c r="F83" s="13"/>
      <c r="G83" s="85"/>
      <c r="H83" s="85"/>
      <c r="I83" s="95"/>
      <c r="J83" s="241"/>
    </row>
    <row r="84" spans="1:10" ht="15.75">
      <c r="A84" s="123" t="s">
        <v>268</v>
      </c>
      <c r="B84" s="1"/>
      <c r="C84" s="2"/>
      <c r="D84" s="2"/>
      <c r="E84" s="3"/>
      <c r="F84" s="13"/>
      <c r="G84" s="85"/>
      <c r="H84" s="85"/>
      <c r="I84" s="95"/>
      <c r="J84" s="241"/>
    </row>
    <row r="85" spans="1:10" ht="15.75">
      <c r="A85" s="174" t="s">
        <v>227</v>
      </c>
      <c r="B85" s="1"/>
      <c r="C85" s="2" t="s">
        <v>228</v>
      </c>
      <c r="D85" s="2" t="s">
        <v>229</v>
      </c>
      <c r="E85" s="3">
        <v>0.9</v>
      </c>
      <c r="F85" s="13">
        <f>+C144</f>
        <v>4.38</v>
      </c>
      <c r="G85" s="4"/>
      <c r="H85" s="14">
        <f>E85*F85</f>
        <v>3.942</v>
      </c>
      <c r="I85" s="95"/>
      <c r="J85" s="241"/>
    </row>
    <row r="86" spans="1:10" ht="16.5" thickBot="1">
      <c r="A86" s="102"/>
      <c r="B86" s="6"/>
      <c r="C86" s="7"/>
      <c r="D86" s="7"/>
      <c r="E86" s="8"/>
      <c r="F86" s="9"/>
      <c r="G86" s="67">
        <v>0</v>
      </c>
      <c r="H86" s="252">
        <f>E85*F85</f>
        <v>3.942</v>
      </c>
      <c r="I86" s="88"/>
      <c r="J86" s="103"/>
    </row>
    <row r="87" spans="1:10" ht="16.5" thickTop="1">
      <c r="A87" s="122">
        <v>1.15</v>
      </c>
      <c r="B87" s="1"/>
      <c r="C87" s="2"/>
      <c r="D87" s="2"/>
      <c r="E87" s="3"/>
      <c r="F87" s="13"/>
      <c r="G87" s="85"/>
      <c r="H87" s="85"/>
      <c r="I87" s="95"/>
      <c r="J87" s="241"/>
    </row>
    <row r="88" spans="1:10" ht="15.75">
      <c r="A88" s="123" t="s">
        <v>269</v>
      </c>
      <c r="B88" s="1"/>
      <c r="C88" s="2"/>
      <c r="D88" s="2"/>
      <c r="E88" s="3"/>
      <c r="F88" s="13"/>
      <c r="G88" s="85"/>
      <c r="H88" s="85"/>
      <c r="I88" s="95"/>
      <c r="J88" s="241"/>
    </row>
    <row r="89" spans="1:10" ht="15.75">
      <c r="A89" s="123" t="s">
        <v>270</v>
      </c>
      <c r="B89" s="1"/>
      <c r="C89" s="2"/>
      <c r="D89" s="2"/>
      <c r="E89" s="3"/>
      <c r="F89" s="13"/>
      <c r="G89" s="85"/>
      <c r="H89" s="85"/>
      <c r="I89" s="95"/>
      <c r="J89" s="241"/>
    </row>
    <row r="90" spans="1:10" ht="15.75">
      <c r="A90" s="177" t="s">
        <v>266</v>
      </c>
      <c r="B90" s="1"/>
      <c r="C90" s="2" t="s">
        <v>228</v>
      </c>
      <c r="D90" s="2" t="s">
        <v>229</v>
      </c>
      <c r="E90" s="3">
        <v>0.43</v>
      </c>
      <c r="F90" s="13">
        <f>+C144</f>
        <v>4.38</v>
      </c>
      <c r="G90" s="4"/>
      <c r="H90" s="264">
        <f>E90*F90</f>
        <v>1.8834</v>
      </c>
      <c r="I90" s="95"/>
      <c r="J90" s="241"/>
    </row>
    <row r="91" spans="1:10" ht="15.75">
      <c r="A91" s="122" t="s">
        <v>271</v>
      </c>
      <c r="B91" s="1"/>
      <c r="C91" s="2" t="s">
        <v>228</v>
      </c>
      <c r="D91" s="2" t="s">
        <v>229</v>
      </c>
      <c r="E91" s="3">
        <v>0.56</v>
      </c>
      <c r="F91" s="13">
        <f>+C144</f>
        <v>4.38</v>
      </c>
      <c r="G91" s="4"/>
      <c r="H91" s="14">
        <f>E91*F91</f>
        <v>2.4528000000000003</v>
      </c>
      <c r="I91" s="95"/>
      <c r="J91" s="241"/>
    </row>
    <row r="92" spans="1:10" ht="16.5" thickBot="1">
      <c r="A92" s="102"/>
      <c r="B92" s="6"/>
      <c r="C92" s="7"/>
      <c r="D92" s="7"/>
      <c r="E92" s="8"/>
      <c r="F92" s="9"/>
      <c r="G92" s="67">
        <v>0</v>
      </c>
      <c r="H92" s="67"/>
      <c r="I92" s="88"/>
      <c r="J92" s="103"/>
    </row>
    <row r="93" spans="1:10" ht="16.5" thickTop="1">
      <c r="A93" s="122">
        <v>1.16</v>
      </c>
      <c r="B93" s="1"/>
      <c r="C93" s="2"/>
      <c r="D93" s="2"/>
      <c r="E93" s="3"/>
      <c r="F93" s="13"/>
      <c r="G93" s="85"/>
      <c r="H93" s="85"/>
      <c r="I93" s="95"/>
      <c r="J93" s="241"/>
    </row>
    <row r="94" spans="1:10" ht="15.75">
      <c r="A94" s="123" t="s">
        <v>272</v>
      </c>
      <c r="B94" s="1"/>
      <c r="C94" s="2"/>
      <c r="D94" s="2"/>
      <c r="E94" s="3"/>
      <c r="F94" s="13"/>
      <c r="G94" s="85"/>
      <c r="H94" s="85"/>
      <c r="I94" s="95"/>
      <c r="J94" s="241"/>
    </row>
    <row r="95" spans="1:10" ht="15.75">
      <c r="A95" s="123" t="s">
        <v>273</v>
      </c>
      <c r="B95" s="1"/>
      <c r="C95" s="2"/>
      <c r="D95" s="2"/>
      <c r="E95" s="3"/>
      <c r="F95" s="13"/>
      <c r="G95" s="85"/>
      <c r="H95" s="85"/>
      <c r="I95" s="95"/>
      <c r="J95" s="241"/>
    </row>
    <row r="96" spans="1:10" ht="15.75">
      <c r="A96" s="177" t="s">
        <v>266</v>
      </c>
      <c r="B96" s="1"/>
      <c r="C96" s="2" t="s">
        <v>228</v>
      </c>
      <c r="D96" s="2" t="s">
        <v>229</v>
      </c>
      <c r="E96" s="3">
        <v>1.2</v>
      </c>
      <c r="F96" s="13">
        <f>+C144</f>
        <v>4.38</v>
      </c>
      <c r="G96" s="4"/>
      <c r="H96" s="264">
        <f>E96*F96</f>
        <v>5.255999999999999</v>
      </c>
      <c r="I96" s="95"/>
      <c r="J96" s="241"/>
    </row>
    <row r="97" spans="1:10" ht="15.75">
      <c r="A97" s="122" t="s">
        <v>271</v>
      </c>
      <c r="B97" s="1"/>
      <c r="C97" s="2" t="s">
        <v>228</v>
      </c>
      <c r="D97" s="2" t="s">
        <v>229</v>
      </c>
      <c r="E97" s="3">
        <v>1.49</v>
      </c>
      <c r="F97" s="13">
        <f>+C144</f>
        <v>4.38</v>
      </c>
      <c r="G97" s="4"/>
      <c r="H97" s="264">
        <f>E97*F97</f>
        <v>6.5262</v>
      </c>
      <c r="I97" s="95"/>
      <c r="J97" s="242"/>
    </row>
    <row r="98" spans="1:10" ht="16.5" thickBot="1">
      <c r="A98" s="102"/>
      <c r="B98" s="6"/>
      <c r="C98" s="7"/>
      <c r="D98" s="7"/>
      <c r="E98" s="8"/>
      <c r="F98" s="9"/>
      <c r="G98" s="67">
        <v>0</v>
      </c>
      <c r="H98" s="67"/>
      <c r="I98" s="88"/>
      <c r="J98" s="103"/>
    </row>
    <row r="99" spans="1:10" ht="16.5" thickTop="1">
      <c r="A99" s="122">
        <v>1.17</v>
      </c>
      <c r="B99" s="1"/>
      <c r="C99" s="2"/>
      <c r="D99" s="2"/>
      <c r="E99" s="3"/>
      <c r="F99" s="13"/>
      <c r="G99" s="85"/>
      <c r="H99" s="85"/>
      <c r="I99" s="95"/>
      <c r="J99" s="241"/>
    </row>
    <row r="100" spans="1:10" ht="15.75">
      <c r="A100" s="123" t="s">
        <v>274</v>
      </c>
      <c r="B100" s="1"/>
      <c r="C100" s="2"/>
      <c r="D100" s="2"/>
      <c r="E100" s="3"/>
      <c r="F100" s="13"/>
      <c r="G100" s="85"/>
      <c r="H100" s="85"/>
      <c r="I100" s="95"/>
      <c r="J100" s="241"/>
    </row>
    <row r="101" spans="1:10" ht="15.75">
      <c r="A101" s="123" t="s">
        <v>275</v>
      </c>
      <c r="B101" s="1"/>
      <c r="C101" s="2"/>
      <c r="D101" s="2"/>
      <c r="E101" s="3"/>
      <c r="F101" s="13"/>
      <c r="G101" s="85"/>
      <c r="H101" s="85"/>
      <c r="I101" s="95"/>
      <c r="J101" s="241"/>
    </row>
    <row r="102" spans="1:10" ht="15.75">
      <c r="A102" s="123" t="s">
        <v>276</v>
      </c>
      <c r="B102" s="1"/>
      <c r="C102" s="2"/>
      <c r="D102" s="2"/>
      <c r="E102" s="3"/>
      <c r="F102" s="13"/>
      <c r="G102" s="85"/>
      <c r="H102" s="85"/>
      <c r="I102" s="95"/>
      <c r="J102" s="241"/>
    </row>
    <row r="103" spans="1:10" ht="15.75">
      <c r="A103" s="174" t="s">
        <v>227</v>
      </c>
      <c r="B103" s="1"/>
      <c r="C103" s="2" t="s">
        <v>228</v>
      </c>
      <c r="D103" s="2" t="s">
        <v>229</v>
      </c>
      <c r="E103" s="3">
        <v>2.22</v>
      </c>
      <c r="F103" s="13">
        <f>+C144</f>
        <v>4.38</v>
      </c>
      <c r="G103" s="4"/>
      <c r="H103" s="14">
        <f>E103*F103</f>
        <v>9.723600000000001</v>
      </c>
      <c r="I103" s="95">
        <f>E103*F103</f>
        <v>9.723600000000001</v>
      </c>
      <c r="J103" s="242"/>
    </row>
    <row r="104" spans="1:10" ht="16.5" thickBot="1">
      <c r="A104" s="102"/>
      <c r="B104" s="6"/>
      <c r="C104" s="7"/>
      <c r="D104" s="7"/>
      <c r="E104" s="8"/>
      <c r="F104" s="9"/>
      <c r="G104" s="67">
        <v>0</v>
      </c>
      <c r="H104" s="252">
        <f>E103*F103</f>
        <v>9.723600000000001</v>
      </c>
      <c r="I104" s="88"/>
      <c r="J104" s="103"/>
    </row>
    <row r="105" spans="1:10" ht="16.5" thickTop="1">
      <c r="A105" s="122">
        <v>1.18</v>
      </c>
      <c r="B105" s="1"/>
      <c r="C105" s="2"/>
      <c r="D105" s="2"/>
      <c r="E105" s="3"/>
      <c r="F105" s="13"/>
      <c r="G105" s="85"/>
      <c r="H105" s="85"/>
      <c r="I105" s="95"/>
      <c r="J105" s="241"/>
    </row>
    <row r="106" spans="1:10" ht="15.75">
      <c r="A106" s="123" t="s">
        <v>277</v>
      </c>
      <c r="B106" s="1"/>
      <c r="C106" s="2"/>
      <c r="D106" s="2"/>
      <c r="E106" s="3"/>
      <c r="F106" s="13"/>
      <c r="G106" s="85"/>
      <c r="H106" s="85"/>
      <c r="I106" s="95"/>
      <c r="J106" s="241"/>
    </row>
    <row r="107" spans="1:10" ht="15.75">
      <c r="A107" s="123" t="s">
        <v>278</v>
      </c>
      <c r="B107" s="1"/>
      <c r="C107" s="2"/>
      <c r="D107" s="2"/>
      <c r="E107" s="3"/>
      <c r="F107" s="13"/>
      <c r="G107" s="85"/>
      <c r="H107" s="85"/>
      <c r="I107" s="95"/>
      <c r="J107" s="241"/>
    </row>
    <row r="108" spans="1:10" ht="15.75">
      <c r="A108" s="123" t="s">
        <v>279</v>
      </c>
      <c r="B108" s="1"/>
      <c r="C108" s="2"/>
      <c r="D108" s="2"/>
      <c r="E108" s="3"/>
      <c r="F108" s="13"/>
      <c r="G108" s="85"/>
      <c r="H108" s="85"/>
      <c r="I108" s="95"/>
      <c r="J108" s="241"/>
    </row>
    <row r="109" spans="1:10" ht="15.75">
      <c r="A109" s="123" t="s">
        <v>243</v>
      </c>
      <c r="B109" s="1"/>
      <c r="C109" s="2"/>
      <c r="D109" s="2"/>
      <c r="E109" s="3"/>
      <c r="F109" s="13"/>
      <c r="G109" s="85"/>
      <c r="H109" s="85"/>
      <c r="I109" s="95"/>
      <c r="J109" s="241"/>
    </row>
    <row r="110" spans="1:10" ht="15.75">
      <c r="A110" s="174" t="s">
        <v>227</v>
      </c>
      <c r="B110" s="1"/>
      <c r="C110" s="2" t="s">
        <v>228</v>
      </c>
      <c r="D110" s="2" t="s">
        <v>229</v>
      </c>
      <c r="E110" s="3">
        <v>5.55</v>
      </c>
      <c r="F110" s="13">
        <f>+C144</f>
        <v>4.38</v>
      </c>
      <c r="G110" s="4"/>
      <c r="H110" s="264">
        <f>E110*F110</f>
        <v>24.308999999999997</v>
      </c>
      <c r="I110" s="270">
        <f>E110*F110</f>
        <v>24.308999999999997</v>
      </c>
      <c r="J110" s="241"/>
    </row>
    <row r="111" spans="1:10" ht="16.5" thickBot="1">
      <c r="A111" s="102"/>
      <c r="B111" s="6"/>
      <c r="C111" s="7"/>
      <c r="D111" s="7"/>
      <c r="E111" s="8"/>
      <c r="F111" s="9"/>
      <c r="G111" s="67">
        <v>0</v>
      </c>
      <c r="H111" s="67">
        <f>E110*F110</f>
        <v>24.308999999999997</v>
      </c>
      <c r="I111" s="88"/>
      <c r="J111" s="103"/>
    </row>
    <row r="112" spans="1:10" ht="16.5" thickTop="1">
      <c r="A112" s="122">
        <v>1.19</v>
      </c>
      <c r="B112" s="1"/>
      <c r="C112" s="2"/>
      <c r="D112" s="2"/>
      <c r="E112" s="3"/>
      <c r="F112" s="13"/>
      <c r="G112" s="85"/>
      <c r="H112" s="85"/>
      <c r="I112" s="95"/>
      <c r="J112" s="241"/>
    </row>
    <row r="113" spans="1:10" ht="15.75">
      <c r="A113" s="123" t="s">
        <v>280</v>
      </c>
      <c r="B113" s="1"/>
      <c r="C113" s="2"/>
      <c r="D113" s="2"/>
      <c r="E113" s="3"/>
      <c r="F113" s="13"/>
      <c r="G113" s="85"/>
      <c r="H113" s="85"/>
      <c r="I113" s="95"/>
      <c r="J113" s="241"/>
    </row>
    <row r="114" spans="1:10" ht="15.75">
      <c r="A114" s="123" t="s">
        <v>281</v>
      </c>
      <c r="B114" s="1"/>
      <c r="C114" s="2"/>
      <c r="D114" s="2"/>
      <c r="E114" s="3"/>
      <c r="F114" s="13"/>
      <c r="G114" s="85"/>
      <c r="H114" s="85"/>
      <c r="I114" s="95"/>
      <c r="J114" s="241"/>
    </row>
    <row r="115" spans="1:10" ht="15.75">
      <c r="A115" s="173" t="s">
        <v>282</v>
      </c>
      <c r="B115" s="1"/>
      <c r="C115" s="2"/>
      <c r="D115" s="2"/>
      <c r="E115" s="3"/>
      <c r="F115" s="13"/>
      <c r="G115" s="85"/>
      <c r="H115" s="85"/>
      <c r="I115" s="95"/>
      <c r="J115" s="241"/>
    </row>
    <row r="116" spans="1:10" ht="15.75">
      <c r="A116" s="189" t="s">
        <v>283</v>
      </c>
      <c r="B116" s="1"/>
      <c r="C116" s="2" t="s">
        <v>284</v>
      </c>
      <c r="D116" s="2" t="s">
        <v>285</v>
      </c>
      <c r="E116" s="266">
        <v>2</v>
      </c>
      <c r="F116" s="265">
        <f>IF(D116="op-01",6.89,IF(D116="op-02",4.31,IF(D116="md-01",3.5,IF(D116="eq-01",31.41,IF(D116="xa-01",0.885)))))</f>
        <v>3.5</v>
      </c>
      <c r="G116" s="267">
        <f>E116*F116</f>
        <v>7</v>
      </c>
      <c r="H116" s="4"/>
      <c r="I116" s="269">
        <f>SUM(G120,H120)</f>
        <v>46.749</v>
      </c>
      <c r="J116" s="5"/>
    </row>
    <row r="117" spans="1:10" ht="15.75">
      <c r="A117" s="189" t="s">
        <v>286</v>
      </c>
      <c r="B117" s="1"/>
      <c r="C117" s="24" t="s">
        <v>287</v>
      </c>
      <c r="D117" s="2" t="s">
        <v>288</v>
      </c>
      <c r="E117" s="266">
        <v>0.8</v>
      </c>
      <c r="F117" s="13">
        <v>0.78</v>
      </c>
      <c r="G117" s="267">
        <f>E117*F117</f>
        <v>0.6240000000000001</v>
      </c>
      <c r="H117" s="4"/>
      <c r="I117" s="95"/>
      <c r="J117" s="5"/>
    </row>
    <row r="118" spans="1:10" ht="15.75">
      <c r="A118" s="189" t="s">
        <v>289</v>
      </c>
      <c r="B118" s="1"/>
      <c r="C118" s="2" t="s">
        <v>228</v>
      </c>
      <c r="D118" s="2" t="s">
        <v>290</v>
      </c>
      <c r="E118" s="266">
        <v>2.5</v>
      </c>
      <c r="F118" s="13">
        <f>+C143</f>
        <v>6.89</v>
      </c>
      <c r="G118" s="1"/>
      <c r="H118" s="268">
        <f>E118*F118</f>
        <v>17.224999999999998</v>
      </c>
      <c r="I118" s="95"/>
      <c r="J118" s="5"/>
    </row>
    <row r="119" spans="1:10" ht="15.75">
      <c r="A119" s="189" t="s">
        <v>227</v>
      </c>
      <c r="B119" s="1"/>
      <c r="C119" s="2" t="s">
        <v>228</v>
      </c>
      <c r="D119" s="2" t="s">
        <v>229</v>
      </c>
      <c r="E119" s="266">
        <v>5</v>
      </c>
      <c r="F119" s="13">
        <f>+C144</f>
        <v>4.38</v>
      </c>
      <c r="G119" s="14"/>
      <c r="H119" s="14">
        <f>E119*F119</f>
        <v>21.9</v>
      </c>
      <c r="I119" s="95"/>
      <c r="J119" s="5"/>
    </row>
    <row r="120" spans="1:10" ht="16.5" thickBot="1">
      <c r="A120" s="102"/>
      <c r="B120" s="148"/>
      <c r="C120" s="7"/>
      <c r="D120" s="7"/>
      <c r="E120" s="8"/>
      <c r="F120" s="58"/>
      <c r="G120" s="252">
        <f>SUM(G116:G117)</f>
        <v>7.6240000000000006</v>
      </c>
      <c r="H120" s="67">
        <f>SUM(H118:H119)</f>
        <v>39.125</v>
      </c>
      <c r="I120" s="88"/>
      <c r="J120" s="147"/>
    </row>
    <row r="121" spans="1:10" ht="16.5" thickTop="1">
      <c r="A121" s="240">
        <v>1.2</v>
      </c>
      <c r="B121" s="1"/>
      <c r="C121" s="2"/>
      <c r="D121" s="2"/>
      <c r="E121" s="3"/>
      <c r="F121" s="13"/>
      <c r="G121" s="85"/>
      <c r="H121" s="85"/>
      <c r="I121" s="95"/>
      <c r="J121" s="241"/>
    </row>
    <row r="122" spans="1:10" ht="15.75">
      <c r="A122" s="173" t="s">
        <v>291</v>
      </c>
      <c r="B122" s="1"/>
      <c r="C122" s="2"/>
      <c r="D122" s="2"/>
      <c r="E122" s="3"/>
      <c r="F122" s="13"/>
      <c r="G122" s="85"/>
      <c r="H122" s="85"/>
      <c r="I122" s="95"/>
      <c r="J122" s="241"/>
    </row>
    <row r="123" spans="1:10" ht="15.75">
      <c r="A123" s="173" t="s">
        <v>774</v>
      </c>
      <c r="B123" s="1"/>
      <c r="C123" s="2"/>
      <c r="D123" s="2"/>
      <c r="E123" s="3"/>
      <c r="F123" s="13"/>
      <c r="G123" s="85"/>
      <c r="H123" s="85"/>
      <c r="I123" s="95"/>
      <c r="J123" s="241"/>
    </row>
    <row r="124" spans="1:10" ht="15.75">
      <c r="A124" s="173" t="s">
        <v>292</v>
      </c>
      <c r="B124" s="1"/>
      <c r="C124" s="2"/>
      <c r="D124" s="2"/>
      <c r="E124" s="3"/>
      <c r="F124" s="13"/>
      <c r="G124" s="85"/>
      <c r="H124" s="85"/>
      <c r="I124" s="95"/>
      <c r="J124" s="241"/>
    </row>
    <row r="125" spans="1:10" ht="15.75">
      <c r="A125" s="300" t="s">
        <v>293</v>
      </c>
      <c r="B125" s="1"/>
      <c r="C125" s="2" t="s">
        <v>294</v>
      </c>
      <c r="D125" s="2" t="s">
        <v>285</v>
      </c>
      <c r="E125" s="266">
        <v>2</v>
      </c>
      <c r="F125" s="265">
        <f>IF(D125="op-01",6.89,IF(D125="op-02",4.31,IF(D125="md-01",3.5,IF(D125="eq-01",31.41,IF(D125="xa-01",0.885)))))</f>
        <v>3.5</v>
      </c>
      <c r="G125" s="268">
        <f>E125*F125</f>
        <v>7</v>
      </c>
      <c r="H125" s="4"/>
      <c r="I125" s="269">
        <f>SUM(G125:G126,H127:H128)</f>
        <v>57.699</v>
      </c>
      <c r="J125" s="5"/>
    </row>
    <row r="126" spans="1:10" ht="15.75">
      <c r="A126" s="299" t="s">
        <v>295</v>
      </c>
      <c r="B126" s="1"/>
      <c r="C126" s="2" t="s">
        <v>287</v>
      </c>
      <c r="D126" s="2" t="s">
        <v>288</v>
      </c>
      <c r="E126" s="266">
        <v>0.8</v>
      </c>
      <c r="F126" s="13">
        <v>0.78</v>
      </c>
      <c r="G126" s="268">
        <f>E126*F126</f>
        <v>0.6240000000000001</v>
      </c>
      <c r="H126" s="4"/>
      <c r="I126" s="95"/>
      <c r="J126" s="5"/>
    </row>
    <row r="127" spans="1:10" ht="15.75">
      <c r="A127" s="299" t="s">
        <v>296</v>
      </c>
      <c r="B127" s="1"/>
      <c r="C127" s="2" t="s">
        <v>228</v>
      </c>
      <c r="D127" s="2" t="s">
        <v>290</v>
      </c>
      <c r="E127" s="266">
        <v>2.5</v>
      </c>
      <c r="F127" s="13">
        <f>+C143</f>
        <v>6.89</v>
      </c>
      <c r="G127" s="1"/>
      <c r="H127" s="268">
        <f>E127*F127</f>
        <v>17.224999999999998</v>
      </c>
      <c r="I127" s="95"/>
      <c r="J127" s="5"/>
    </row>
    <row r="128" spans="1:10" ht="15.75">
      <c r="A128" s="299" t="s">
        <v>297</v>
      </c>
      <c r="B128" s="1"/>
      <c r="C128" s="2" t="s">
        <v>228</v>
      </c>
      <c r="D128" s="2" t="s">
        <v>229</v>
      </c>
      <c r="E128" s="266">
        <v>7.5</v>
      </c>
      <c r="F128" s="13">
        <f>+C144</f>
        <v>4.38</v>
      </c>
      <c r="G128" s="4"/>
      <c r="H128" s="268">
        <f>E128*F128</f>
        <v>32.85</v>
      </c>
      <c r="I128" s="95"/>
      <c r="J128" s="5"/>
    </row>
    <row r="129" spans="1:10" ht="16.5" thickBot="1">
      <c r="A129" s="204"/>
      <c r="B129" s="59"/>
      <c r="C129" s="7"/>
      <c r="D129" s="7"/>
      <c r="E129" s="8"/>
      <c r="F129" s="60"/>
      <c r="G129" s="252">
        <f>SUM(G125:G126)</f>
        <v>7.6240000000000006</v>
      </c>
      <c r="H129" s="252">
        <f>SUM(H127:H128)</f>
        <v>50.075</v>
      </c>
      <c r="I129" s="88"/>
      <c r="J129" s="103"/>
    </row>
    <row r="130" spans="1:10" ht="16.5" thickTop="1">
      <c r="A130" s="177">
        <v>1.21</v>
      </c>
      <c r="B130" s="1"/>
      <c r="C130" s="2"/>
      <c r="D130" s="2"/>
      <c r="E130" s="3"/>
      <c r="F130" s="13"/>
      <c r="G130" s="85"/>
      <c r="H130" s="85"/>
      <c r="I130" s="95"/>
      <c r="J130" s="241"/>
    </row>
    <row r="131" spans="1:10" ht="15.75">
      <c r="A131" s="173" t="s">
        <v>280</v>
      </c>
      <c r="B131" s="1"/>
      <c r="C131" s="2"/>
      <c r="D131" s="2"/>
      <c r="E131" s="3"/>
      <c r="F131" s="13"/>
      <c r="G131" s="85"/>
      <c r="H131" s="85"/>
      <c r="I131" s="95"/>
      <c r="J131" s="241"/>
    </row>
    <row r="132" spans="1:10" ht="15.75">
      <c r="A132" s="173" t="s">
        <v>298</v>
      </c>
      <c r="B132" s="1"/>
      <c r="C132" s="2"/>
      <c r="D132" s="2"/>
      <c r="E132" s="3"/>
      <c r="F132" s="13"/>
      <c r="G132" s="85"/>
      <c r="H132" s="85"/>
      <c r="I132" s="95"/>
      <c r="J132" s="241"/>
    </row>
    <row r="133" spans="1:10" ht="15.75">
      <c r="A133" s="173" t="s">
        <v>292</v>
      </c>
      <c r="B133" s="1"/>
      <c r="C133" s="2"/>
      <c r="D133" s="2"/>
      <c r="E133" s="3"/>
      <c r="F133" s="13"/>
      <c r="G133" s="85"/>
      <c r="H133" s="85"/>
      <c r="I133" s="95"/>
      <c r="J133" s="241"/>
    </row>
    <row r="134" spans="1:10" ht="15.75">
      <c r="A134" s="299" t="s">
        <v>293</v>
      </c>
      <c r="B134" s="1"/>
      <c r="C134" s="2" t="s">
        <v>294</v>
      </c>
      <c r="D134" s="2" t="s">
        <v>285</v>
      </c>
      <c r="E134" s="266">
        <v>2</v>
      </c>
      <c r="F134" s="265">
        <f>IF(D134="op-01",6.89,IF(D134="op-02",4.31,IF(D134="md-01",3.5,IF(D134="eq-01",31.41,IF(D134="xa-01",0.885)))))</f>
        <v>3.5</v>
      </c>
      <c r="G134" s="268">
        <f>E134*F134</f>
        <v>7</v>
      </c>
      <c r="H134" s="4"/>
      <c r="I134" s="269">
        <f>SUM(G134:G136,H137:H138)</f>
        <v>82.276</v>
      </c>
      <c r="J134" s="5"/>
    </row>
    <row r="135" spans="1:10" ht="15.75">
      <c r="A135" s="299" t="s">
        <v>295</v>
      </c>
      <c r="B135" s="1"/>
      <c r="C135" s="2" t="s">
        <v>287</v>
      </c>
      <c r="D135" s="2" t="s">
        <v>288</v>
      </c>
      <c r="E135" s="266">
        <v>0.8</v>
      </c>
      <c r="F135" s="13">
        <v>0.78</v>
      </c>
      <c r="G135" s="268">
        <f>E135*F135</f>
        <v>0.6240000000000001</v>
      </c>
      <c r="H135" s="4"/>
      <c r="I135" s="95"/>
      <c r="J135" s="5"/>
    </row>
    <row r="136" spans="1:10" ht="15.75">
      <c r="A136" s="299" t="s">
        <v>299</v>
      </c>
      <c r="B136" s="1"/>
      <c r="C136" s="2" t="s">
        <v>300</v>
      </c>
      <c r="D136" s="2" t="s">
        <v>301</v>
      </c>
      <c r="E136" s="266">
        <v>0.5</v>
      </c>
      <c r="F136" s="265">
        <v>30</v>
      </c>
      <c r="G136" s="268">
        <f>E136*F136</f>
        <v>15</v>
      </c>
      <c r="H136" s="4"/>
      <c r="I136" s="95"/>
      <c r="J136" s="5"/>
    </row>
    <row r="137" spans="1:10" ht="15.75">
      <c r="A137" s="299" t="s">
        <v>296</v>
      </c>
      <c r="B137" s="1"/>
      <c r="C137" s="2" t="s">
        <v>228</v>
      </c>
      <c r="D137" s="2" t="s">
        <v>290</v>
      </c>
      <c r="E137" s="266">
        <v>3</v>
      </c>
      <c r="F137" s="13">
        <f>+C143</f>
        <v>6.89</v>
      </c>
      <c r="G137" s="1"/>
      <c r="H137" s="14">
        <f>E137*F137</f>
        <v>20.669999999999998</v>
      </c>
      <c r="I137" s="95"/>
      <c r="J137" s="5"/>
    </row>
    <row r="138" spans="1:10" ht="15.75">
      <c r="A138" s="299" t="s">
        <v>297</v>
      </c>
      <c r="B138" s="1"/>
      <c r="C138" s="2" t="s">
        <v>228</v>
      </c>
      <c r="D138" s="2" t="s">
        <v>229</v>
      </c>
      <c r="E138" s="266">
        <v>8.9</v>
      </c>
      <c r="F138" s="13">
        <f>+C144</f>
        <v>4.38</v>
      </c>
      <c r="G138" s="1"/>
      <c r="H138" s="268">
        <f>E138*F138</f>
        <v>38.982</v>
      </c>
      <c r="I138" s="95"/>
      <c r="J138" s="5"/>
    </row>
    <row r="139" spans="1:10" ht="16.5" thickBot="1">
      <c r="A139" s="107"/>
      <c r="B139" s="62"/>
      <c r="C139" s="17"/>
      <c r="D139" s="17"/>
      <c r="E139" s="18"/>
      <c r="F139" s="65"/>
      <c r="G139" s="253">
        <f>SUM(G134:G136)</f>
        <v>22.624000000000002</v>
      </c>
      <c r="H139" s="66">
        <f>SUM(H137:H138)</f>
        <v>59.652</v>
      </c>
      <c r="I139" s="92"/>
      <c r="J139" s="105"/>
    </row>
    <row r="140" spans="1:10" ht="16.5" thickTop="1">
      <c r="A140" s="21"/>
      <c r="B140" s="21"/>
      <c r="C140" s="22"/>
      <c r="D140" s="22"/>
      <c r="E140" s="23"/>
      <c r="F140" s="21"/>
      <c r="G140" s="68"/>
      <c r="H140" s="21"/>
      <c r="I140" s="21"/>
      <c r="J140" s="106"/>
    </row>
    <row r="141" spans="1:10" ht="15.75">
      <c r="A141" s="21"/>
      <c r="B141" s="21"/>
      <c r="C141" s="22"/>
      <c r="D141" s="22"/>
      <c r="E141" s="23"/>
      <c r="F141" s="21"/>
      <c r="G141" s="21"/>
      <c r="H141" s="21"/>
      <c r="I141" s="21"/>
      <c r="J141" s="106"/>
    </row>
    <row r="142" spans="1:10" ht="15.75">
      <c r="A142" s="21"/>
      <c r="B142" s="21"/>
      <c r="C142" s="22"/>
      <c r="D142" s="22"/>
      <c r="E142" s="23"/>
      <c r="F142" s="21"/>
      <c r="G142" s="21"/>
      <c r="H142" s="21"/>
      <c r="I142" s="21"/>
      <c r="J142" s="106"/>
    </row>
    <row r="143" spans="1:10" ht="15.75">
      <c r="A143" s="21"/>
      <c r="B143" s="301" t="s">
        <v>290</v>
      </c>
      <c r="C143" s="40">
        <v>6.89</v>
      </c>
      <c r="D143" s="22"/>
      <c r="E143" s="23"/>
      <c r="F143" s="21"/>
      <c r="G143" s="21"/>
      <c r="H143" s="21"/>
      <c r="I143" s="21"/>
      <c r="J143" s="106"/>
    </row>
    <row r="144" spans="1:10" ht="15.75">
      <c r="A144" s="21"/>
      <c r="B144" s="301" t="s">
        <v>229</v>
      </c>
      <c r="C144" s="40">
        <v>4.38</v>
      </c>
      <c r="D144" s="22"/>
      <c r="E144" s="23"/>
      <c r="F144" s="21"/>
      <c r="G144" s="21"/>
      <c r="H144" s="21"/>
      <c r="I144" s="21"/>
      <c r="J144" s="106"/>
    </row>
    <row r="145" spans="1:10" ht="15.75">
      <c r="A145" s="21"/>
      <c r="C145" s="40"/>
      <c r="D145" s="22"/>
      <c r="E145" s="23"/>
      <c r="F145" s="21"/>
      <c r="G145" s="21"/>
      <c r="H145" s="21"/>
      <c r="I145" s="21"/>
      <c r="J145" s="106"/>
    </row>
    <row r="146" spans="1:10" ht="15.75">
      <c r="A146" s="21"/>
      <c r="B146" s="21"/>
      <c r="C146" s="22"/>
      <c r="D146" s="22"/>
      <c r="E146" s="23"/>
      <c r="F146" s="21"/>
      <c r="G146" s="21"/>
      <c r="H146" s="21"/>
      <c r="I146" s="21"/>
      <c r="J146" s="106"/>
    </row>
    <row r="147" spans="1:10" ht="15.75">
      <c r="A147" s="21"/>
      <c r="B147" s="21"/>
      <c r="C147" s="21"/>
      <c r="D147" s="21"/>
      <c r="E147" s="23"/>
      <c r="F147" s="21"/>
      <c r="G147" s="21"/>
      <c r="H147" s="21"/>
      <c r="I147" s="21"/>
      <c r="J147" s="106"/>
    </row>
    <row r="148" spans="1:10" ht="15.75">
      <c r="A148" s="21"/>
      <c r="B148" s="21"/>
      <c r="C148" s="21"/>
      <c r="D148" s="21"/>
      <c r="E148" s="23"/>
      <c r="F148" s="21"/>
      <c r="G148" s="21"/>
      <c r="H148" s="21"/>
      <c r="I148" s="21"/>
      <c r="J148" s="106"/>
    </row>
    <row r="149" spans="1:10" ht="15.75">
      <c r="A149" s="21"/>
      <c r="B149" s="21"/>
      <c r="C149" s="21"/>
      <c r="D149" s="21"/>
      <c r="E149" s="23"/>
      <c r="F149" s="21"/>
      <c r="G149" s="21"/>
      <c r="H149" s="21"/>
      <c r="I149" s="21"/>
      <c r="J149" s="106"/>
    </row>
    <row r="150" spans="1:10" ht="15.75">
      <c r="A150" s="21"/>
      <c r="B150" s="21"/>
      <c r="C150" s="21"/>
      <c r="D150" s="21"/>
      <c r="E150" s="23"/>
      <c r="F150" s="21"/>
      <c r="G150" s="21"/>
      <c r="H150" s="21"/>
      <c r="I150" s="21"/>
      <c r="J150" s="106"/>
    </row>
    <row r="151" spans="1:10" ht="15.75">
      <c r="A151" s="21"/>
      <c r="B151" s="21"/>
      <c r="C151" s="21"/>
      <c r="D151" s="21"/>
      <c r="E151" s="23"/>
      <c r="F151" s="21"/>
      <c r="G151" s="21"/>
      <c r="H151" s="21"/>
      <c r="I151" s="21"/>
      <c r="J151" s="106"/>
    </row>
    <row r="152" spans="1:10" ht="15.75">
      <c r="A152" s="21"/>
      <c r="B152" s="21"/>
      <c r="C152" s="21"/>
      <c r="D152" s="21"/>
      <c r="E152" s="23"/>
      <c r="F152" s="21"/>
      <c r="G152" s="21"/>
      <c r="H152" s="21"/>
      <c r="I152" s="21"/>
      <c r="J152" s="106"/>
    </row>
    <row r="153" spans="1:10" ht="15.75">
      <c r="A153" s="21"/>
      <c r="B153" s="21"/>
      <c r="C153" s="21"/>
      <c r="D153" s="21"/>
      <c r="E153" s="23"/>
      <c r="F153" s="21"/>
      <c r="G153" s="21"/>
      <c r="H153" s="21"/>
      <c r="I153" s="21"/>
      <c r="J153" s="106"/>
    </row>
    <row r="154" spans="1:10" ht="15.75">
      <c r="A154" s="21"/>
      <c r="B154" s="21"/>
      <c r="C154" s="21"/>
      <c r="D154" s="21"/>
      <c r="E154" s="23"/>
      <c r="F154" s="21"/>
      <c r="G154" s="21"/>
      <c r="H154" s="21"/>
      <c r="I154" s="21"/>
      <c r="J154" s="106"/>
    </row>
    <row r="155" spans="1:10" ht="15.75">
      <c r="A155" s="21"/>
      <c r="B155" s="21"/>
      <c r="C155" s="21"/>
      <c r="D155" s="21"/>
      <c r="E155" s="23"/>
      <c r="F155" s="21"/>
      <c r="G155" s="21"/>
      <c r="H155" s="21"/>
      <c r="I155" s="21"/>
      <c r="J155" s="106"/>
    </row>
    <row r="156" spans="1:10" ht="15.75">
      <c r="A156" s="21"/>
      <c r="B156" s="21"/>
      <c r="C156" s="21"/>
      <c r="D156" s="21"/>
      <c r="E156" s="21"/>
      <c r="F156" s="21"/>
      <c r="G156" s="21"/>
      <c r="H156" s="21"/>
      <c r="I156" s="21"/>
      <c r="J156" s="106"/>
    </row>
    <row r="157" spans="1:10" ht="15.75">
      <c r="A157" s="21"/>
      <c r="B157" s="21"/>
      <c r="C157" s="21"/>
      <c r="D157" s="21"/>
      <c r="E157" s="21"/>
      <c r="F157" s="21"/>
      <c r="G157" s="21"/>
      <c r="H157" s="21"/>
      <c r="I157" s="21"/>
      <c r="J157" s="106"/>
    </row>
    <row r="158" spans="1:10" ht="15.75">
      <c r="A158" s="21"/>
      <c r="B158" s="21"/>
      <c r="C158" s="21"/>
      <c r="D158" s="21"/>
      <c r="E158" s="21"/>
      <c r="F158" s="21"/>
      <c r="G158" s="21"/>
      <c r="H158" s="21"/>
      <c r="I158" s="21"/>
      <c r="J158" s="106"/>
    </row>
    <row r="159" spans="1:10" ht="15.75">
      <c r="A159" s="21"/>
      <c r="B159" s="21"/>
      <c r="C159" s="21"/>
      <c r="D159" s="21"/>
      <c r="E159" s="21"/>
      <c r="F159" s="21"/>
      <c r="G159" s="21"/>
      <c r="H159" s="21"/>
      <c r="I159" s="21"/>
      <c r="J159" s="106"/>
    </row>
    <row r="160" spans="1:10" ht="15.75">
      <c r="A160" s="21"/>
      <c r="B160" s="21"/>
      <c r="C160" s="21"/>
      <c r="D160" s="21"/>
      <c r="E160" s="21"/>
      <c r="F160" s="21"/>
      <c r="G160" s="21"/>
      <c r="H160" s="21"/>
      <c r="I160" s="21"/>
      <c r="J160" s="106"/>
    </row>
    <row r="161" spans="1:10" ht="15.75">
      <c r="A161" s="21"/>
      <c r="B161" s="21"/>
      <c r="C161" s="21"/>
      <c r="D161" s="21"/>
      <c r="E161" s="21"/>
      <c r="F161" s="21"/>
      <c r="G161" s="21"/>
      <c r="H161" s="21"/>
      <c r="I161" s="21"/>
      <c r="J161" s="106"/>
    </row>
    <row r="162" spans="1:10" ht="15.75">
      <c r="A162" s="21"/>
      <c r="B162" s="21"/>
      <c r="C162" s="21"/>
      <c r="D162" s="21"/>
      <c r="E162" s="21"/>
      <c r="F162" s="21"/>
      <c r="G162" s="21"/>
      <c r="H162" s="21"/>
      <c r="I162" s="21"/>
      <c r="J162" s="106"/>
    </row>
    <row r="163" spans="1:10" ht="15.75">
      <c r="A163" s="21"/>
      <c r="B163" s="21"/>
      <c r="C163" s="21"/>
      <c r="D163" s="21"/>
      <c r="E163" s="21"/>
      <c r="F163" s="21"/>
      <c r="G163" s="21"/>
      <c r="H163" s="21"/>
      <c r="I163" s="21"/>
      <c r="J163" s="106"/>
    </row>
    <row r="164" spans="1:10" ht="15.75">
      <c r="A164" s="21"/>
      <c r="B164" s="21"/>
      <c r="C164" s="21"/>
      <c r="D164" s="21"/>
      <c r="E164" s="21"/>
      <c r="F164" s="21"/>
      <c r="G164" s="21"/>
      <c r="H164" s="21"/>
      <c r="I164" s="21"/>
      <c r="J164" s="106"/>
    </row>
    <row r="165" spans="1:10" ht="15.75">
      <c r="A165" s="21"/>
      <c r="B165" s="21"/>
      <c r="C165" s="21"/>
      <c r="D165" s="21"/>
      <c r="E165" s="21"/>
      <c r="F165" s="21"/>
      <c r="G165" s="21"/>
      <c r="H165" s="21"/>
      <c r="I165" s="21"/>
      <c r="J165" s="106"/>
    </row>
    <row r="166" spans="1:10" ht="15.75">
      <c r="A166" s="21"/>
      <c r="B166" s="21"/>
      <c r="C166" s="21"/>
      <c r="D166" s="21"/>
      <c r="E166" s="21"/>
      <c r="F166" s="21"/>
      <c r="G166" s="21"/>
      <c r="H166" s="21"/>
      <c r="I166" s="21"/>
      <c r="J166" s="106"/>
    </row>
    <row r="167" spans="1:10" ht="15.75">
      <c r="A167" s="21"/>
      <c r="B167" s="21"/>
      <c r="C167" s="21"/>
      <c r="D167" s="21"/>
      <c r="E167" s="21"/>
      <c r="F167" s="21"/>
      <c r="G167" s="21"/>
      <c r="H167" s="21"/>
      <c r="I167" s="21"/>
      <c r="J167" s="106"/>
    </row>
    <row r="168" spans="1:10" ht="15.75">
      <c r="A168" s="21"/>
      <c r="B168" s="21"/>
      <c r="C168" s="21"/>
      <c r="D168" s="21"/>
      <c r="E168" s="21"/>
      <c r="F168" s="21"/>
      <c r="G168" s="21"/>
      <c r="H168" s="21"/>
      <c r="I168" s="21"/>
      <c r="J168" s="106"/>
    </row>
    <row r="169" spans="1:10" ht="15.75">
      <c r="A169" s="21"/>
      <c r="B169" s="21"/>
      <c r="C169" s="21"/>
      <c r="D169" s="21"/>
      <c r="E169" s="21"/>
      <c r="F169" s="21"/>
      <c r="G169" s="21"/>
      <c r="H169" s="21"/>
      <c r="I169" s="21"/>
      <c r="J169" s="106"/>
    </row>
    <row r="170" spans="1:10" ht="15.75">
      <c r="A170" s="21"/>
      <c r="B170" s="21"/>
      <c r="C170" s="21"/>
      <c r="D170" s="21"/>
      <c r="E170" s="21"/>
      <c r="F170" s="21"/>
      <c r="G170" s="21"/>
      <c r="H170" s="21"/>
      <c r="I170" s="21"/>
      <c r="J170" s="106"/>
    </row>
    <row r="171" spans="1:10" ht="15.75">
      <c r="A171" s="21"/>
      <c r="B171" s="21"/>
      <c r="C171" s="21"/>
      <c r="D171" s="21"/>
      <c r="E171" s="21"/>
      <c r="F171" s="21"/>
      <c r="G171" s="21"/>
      <c r="H171" s="21"/>
      <c r="I171" s="21"/>
      <c r="J171" s="106"/>
    </row>
    <row r="172" spans="1:10" ht="15.75">
      <c r="A172" s="21"/>
      <c r="B172" s="21"/>
      <c r="C172" s="21"/>
      <c r="D172" s="21"/>
      <c r="E172" s="21"/>
      <c r="F172" s="21"/>
      <c r="G172" s="21"/>
      <c r="H172" s="21"/>
      <c r="I172" s="21"/>
      <c r="J172" s="106"/>
    </row>
    <row r="173" spans="1:10" ht="15.75">
      <c r="A173" s="21"/>
      <c r="B173" s="21"/>
      <c r="C173" s="21"/>
      <c r="D173" s="21"/>
      <c r="E173" s="21"/>
      <c r="F173" s="21"/>
      <c r="G173" s="21"/>
      <c r="H173" s="21"/>
      <c r="I173" s="21"/>
      <c r="J173" s="106"/>
    </row>
    <row r="174" spans="1:10" ht="15.75">
      <c r="A174" s="21"/>
      <c r="B174" s="21"/>
      <c r="C174" s="21"/>
      <c r="D174" s="21"/>
      <c r="E174" s="21"/>
      <c r="F174" s="21"/>
      <c r="G174" s="21"/>
      <c r="H174" s="21"/>
      <c r="I174" s="21"/>
      <c r="J174" s="106"/>
    </row>
    <row r="175" spans="1:10" ht="15.75">
      <c r="A175" s="21"/>
      <c r="B175" s="21"/>
      <c r="C175" s="21"/>
      <c r="D175" s="21"/>
      <c r="E175" s="21"/>
      <c r="F175" s="21"/>
      <c r="G175" s="21"/>
      <c r="H175" s="21"/>
      <c r="I175" s="21"/>
      <c r="J175" s="106"/>
    </row>
    <row r="176" spans="1:10" ht="15.75">
      <c r="A176" s="21"/>
      <c r="B176" s="21"/>
      <c r="C176" s="21"/>
      <c r="D176" s="21"/>
      <c r="E176" s="21"/>
      <c r="F176" s="21"/>
      <c r="G176" s="21"/>
      <c r="H176" s="21"/>
      <c r="I176" s="21"/>
      <c r="J176" s="106"/>
    </row>
    <row r="177" spans="1:10" ht="15.75">
      <c r="A177" s="21"/>
      <c r="B177" s="21"/>
      <c r="C177" s="21"/>
      <c r="D177" s="21"/>
      <c r="E177" s="21"/>
      <c r="F177" s="21"/>
      <c r="G177" s="21"/>
      <c r="H177" s="21"/>
      <c r="I177" s="21"/>
      <c r="J177" s="106"/>
    </row>
    <row r="178" spans="1:10" ht="15.75">
      <c r="A178" s="21"/>
      <c r="B178" s="21"/>
      <c r="C178" s="21"/>
      <c r="D178" s="21"/>
      <c r="E178" s="21"/>
      <c r="F178" s="21"/>
      <c r="G178" s="21"/>
      <c r="H178" s="21"/>
      <c r="I178" s="21"/>
      <c r="J178" s="106"/>
    </row>
    <row r="179" spans="1:10" ht="15.75">
      <c r="A179" s="21"/>
      <c r="B179" s="21"/>
      <c r="C179" s="21"/>
      <c r="D179" s="21"/>
      <c r="E179" s="21"/>
      <c r="F179" s="21"/>
      <c r="G179" s="21"/>
      <c r="H179" s="21"/>
      <c r="I179" s="21"/>
      <c r="J179" s="106"/>
    </row>
    <row r="180" spans="1:10" ht="15.75">
      <c r="A180" s="21"/>
      <c r="B180" s="21"/>
      <c r="C180" s="21"/>
      <c r="D180" s="21"/>
      <c r="E180" s="21"/>
      <c r="F180" s="21"/>
      <c r="G180" s="21"/>
      <c r="H180" s="21"/>
      <c r="I180" s="21"/>
      <c r="J180" s="106"/>
    </row>
    <row r="181" spans="1:10" ht="15.75">
      <c r="A181" s="21"/>
      <c r="B181" s="21"/>
      <c r="C181" s="21"/>
      <c r="D181" s="21"/>
      <c r="E181" s="21"/>
      <c r="F181" s="21"/>
      <c r="G181" s="21"/>
      <c r="H181" s="21"/>
      <c r="I181" s="21"/>
      <c r="J181" s="106"/>
    </row>
    <row r="182" spans="1:10" ht="15.75">
      <c r="A182" s="21"/>
      <c r="B182" s="21"/>
      <c r="C182" s="21"/>
      <c r="D182" s="21"/>
      <c r="E182" s="21"/>
      <c r="F182" s="21"/>
      <c r="G182" s="21"/>
      <c r="H182" s="21"/>
      <c r="I182" s="21"/>
      <c r="J182" s="106"/>
    </row>
    <row r="183" spans="1:10" ht="15.75">
      <c r="A183" s="21"/>
      <c r="B183" s="21"/>
      <c r="C183" s="21"/>
      <c r="D183" s="21"/>
      <c r="E183" s="21"/>
      <c r="F183" s="21"/>
      <c r="G183" s="21"/>
      <c r="H183" s="21"/>
      <c r="I183" s="21"/>
      <c r="J183" s="106"/>
    </row>
    <row r="184" spans="1:10" ht="15.75">
      <c r="A184" s="21"/>
      <c r="B184" s="21"/>
      <c r="C184" s="21"/>
      <c r="D184" s="21"/>
      <c r="E184" s="21"/>
      <c r="F184" s="21"/>
      <c r="G184" s="21"/>
      <c r="H184" s="21"/>
      <c r="I184" s="21"/>
      <c r="J184" s="106"/>
    </row>
    <row r="185" spans="1:10" ht="15.75">
      <c r="A185" s="21"/>
      <c r="B185" s="21"/>
      <c r="C185" s="21"/>
      <c r="D185" s="21"/>
      <c r="E185" s="21"/>
      <c r="F185" s="21"/>
      <c r="G185" s="21"/>
      <c r="H185" s="21"/>
      <c r="I185" s="21"/>
      <c r="J185" s="106"/>
    </row>
    <row r="186" spans="1:10" ht="15.75">
      <c r="A186" s="21"/>
      <c r="B186" s="21"/>
      <c r="C186" s="21"/>
      <c r="D186" s="21"/>
      <c r="E186" s="21"/>
      <c r="F186" s="21"/>
      <c r="G186" s="21"/>
      <c r="H186" s="21"/>
      <c r="I186" s="21"/>
      <c r="J186" s="106"/>
    </row>
    <row r="187" spans="1:10" ht="15.75">
      <c r="A187" s="21"/>
      <c r="B187" s="21"/>
      <c r="C187" s="21"/>
      <c r="D187" s="21"/>
      <c r="E187" s="21"/>
      <c r="F187" s="21"/>
      <c r="G187" s="21"/>
      <c r="H187" s="21"/>
      <c r="I187" s="21"/>
      <c r="J187" s="106"/>
    </row>
    <row r="188" spans="1:10" ht="15.75">
      <c r="A188" s="21"/>
      <c r="B188" s="21"/>
      <c r="C188" s="21"/>
      <c r="D188" s="21"/>
      <c r="E188" s="21"/>
      <c r="F188" s="21"/>
      <c r="G188" s="21"/>
      <c r="H188" s="21"/>
      <c r="I188" s="21"/>
      <c r="J188" s="106"/>
    </row>
    <row r="189" spans="1:10" ht="15.75">
      <c r="A189" s="21"/>
      <c r="B189" s="21"/>
      <c r="C189" s="21"/>
      <c r="D189" s="21"/>
      <c r="E189" s="21"/>
      <c r="F189" s="21"/>
      <c r="G189" s="21"/>
      <c r="H189" s="21"/>
      <c r="I189" s="21"/>
      <c r="J189" s="106"/>
    </row>
    <row r="190" spans="1:10" ht="15.75">
      <c r="A190" s="21"/>
      <c r="B190" s="21"/>
      <c r="C190" s="21"/>
      <c r="D190" s="21"/>
      <c r="E190" s="21"/>
      <c r="F190" s="21"/>
      <c r="G190" s="21"/>
      <c r="H190" s="21"/>
      <c r="I190" s="21"/>
      <c r="J190" s="106"/>
    </row>
    <row r="191" spans="1:10" ht="15.75">
      <c r="A191" s="21"/>
      <c r="B191" s="21"/>
      <c r="C191" s="21"/>
      <c r="D191" s="21"/>
      <c r="E191" s="21"/>
      <c r="F191" s="21"/>
      <c r="G191" s="21"/>
      <c r="H191" s="21"/>
      <c r="I191" s="21"/>
      <c r="J191" s="106"/>
    </row>
    <row r="192" spans="1:10" ht="15.75">
      <c r="A192" s="21"/>
      <c r="B192" s="21"/>
      <c r="C192" s="21"/>
      <c r="D192" s="21"/>
      <c r="E192" s="21"/>
      <c r="F192" s="21"/>
      <c r="G192" s="21"/>
      <c r="H192" s="21"/>
      <c r="I192" s="21"/>
      <c r="J192" s="106"/>
    </row>
    <row r="193" spans="1:10" ht="15.75">
      <c r="A193" s="21"/>
      <c r="B193" s="21"/>
      <c r="C193" s="21"/>
      <c r="D193" s="21"/>
      <c r="E193" s="21"/>
      <c r="F193" s="21"/>
      <c r="G193" s="21"/>
      <c r="H193" s="21"/>
      <c r="I193" s="21"/>
      <c r="J193" s="106"/>
    </row>
    <row r="194" spans="1:10" ht="15.75">
      <c r="A194" s="21"/>
      <c r="B194" s="21"/>
      <c r="C194" s="21"/>
      <c r="D194" s="21"/>
      <c r="E194" s="21"/>
      <c r="F194" s="21"/>
      <c r="G194" s="21"/>
      <c r="H194" s="21"/>
      <c r="I194" s="21"/>
      <c r="J194" s="106"/>
    </row>
    <row r="195" spans="1:10" ht="15.75">
      <c r="A195" s="21"/>
      <c r="B195" s="21"/>
      <c r="C195" s="21"/>
      <c r="D195" s="21"/>
      <c r="E195" s="21"/>
      <c r="F195" s="21"/>
      <c r="G195" s="21"/>
      <c r="H195" s="21"/>
      <c r="I195" s="21"/>
      <c r="J195" s="106"/>
    </row>
    <row r="196" spans="1:10" ht="15.75">
      <c r="A196" s="21"/>
      <c r="B196" s="21"/>
      <c r="C196" s="21"/>
      <c r="D196" s="21"/>
      <c r="E196" s="21"/>
      <c r="F196" s="21"/>
      <c r="G196" s="21"/>
      <c r="H196" s="21"/>
      <c r="I196" s="21"/>
      <c r="J196" s="106"/>
    </row>
    <row r="197" spans="1:10" ht="15.75">
      <c r="A197" s="21"/>
      <c r="B197" s="21"/>
      <c r="C197" s="21"/>
      <c r="D197" s="21"/>
      <c r="E197" s="21"/>
      <c r="F197" s="21"/>
      <c r="G197" s="21"/>
      <c r="H197" s="21"/>
      <c r="I197" s="21"/>
      <c r="J197" s="106"/>
    </row>
    <row r="198" spans="1:10" ht="15.75">
      <c r="A198" s="21"/>
      <c r="B198" s="21"/>
      <c r="C198" s="21"/>
      <c r="D198" s="21"/>
      <c r="E198" s="21"/>
      <c r="F198" s="21"/>
      <c r="G198" s="21"/>
      <c r="H198" s="21"/>
      <c r="I198" s="21"/>
      <c r="J198" s="106"/>
    </row>
    <row r="199" spans="1:10" ht="15.75">
      <c r="A199" s="21"/>
      <c r="B199" s="21"/>
      <c r="C199" s="21"/>
      <c r="D199" s="21"/>
      <c r="E199" s="21"/>
      <c r="F199" s="21"/>
      <c r="G199" s="21"/>
      <c r="H199" s="21"/>
      <c r="I199" s="21"/>
      <c r="J199" s="106"/>
    </row>
    <row r="200" spans="1:10" ht="15.75">
      <c r="A200" s="21"/>
      <c r="B200" s="21"/>
      <c r="C200" s="21"/>
      <c r="D200" s="21"/>
      <c r="E200" s="21"/>
      <c r="F200" s="21"/>
      <c r="G200" s="21"/>
      <c r="H200" s="21"/>
      <c r="I200" s="21"/>
      <c r="J200" s="106"/>
    </row>
    <row r="201" spans="1:10" ht="15.75">
      <c r="A201" s="21"/>
      <c r="B201" s="21"/>
      <c r="C201" s="21"/>
      <c r="D201" s="21"/>
      <c r="E201" s="21"/>
      <c r="F201" s="21"/>
      <c r="G201" s="21"/>
      <c r="H201" s="21"/>
      <c r="I201" s="21"/>
      <c r="J201" s="106"/>
    </row>
    <row r="202" spans="1:10" ht="15.75">
      <c r="A202" s="21"/>
      <c r="B202" s="21"/>
      <c r="C202" s="21"/>
      <c r="D202" s="21"/>
      <c r="E202" s="21"/>
      <c r="F202" s="21"/>
      <c r="G202" s="21"/>
      <c r="H202" s="21"/>
      <c r="I202" s="21"/>
      <c r="J202" s="106"/>
    </row>
    <row r="203" spans="1:10" ht="15.75">
      <c r="A203" s="21"/>
      <c r="B203" s="21"/>
      <c r="C203" s="21"/>
      <c r="D203" s="21"/>
      <c r="E203" s="21"/>
      <c r="F203" s="21"/>
      <c r="G203" s="21"/>
      <c r="H203" s="21"/>
      <c r="I203" s="21"/>
      <c r="J203" s="106"/>
    </row>
    <row r="204" spans="1:10" ht="15.75">
      <c r="A204" s="21"/>
      <c r="B204" s="21"/>
      <c r="C204" s="21"/>
      <c r="D204" s="21"/>
      <c r="E204" s="21"/>
      <c r="F204" s="21"/>
      <c r="G204" s="21"/>
      <c r="H204" s="21"/>
      <c r="I204" s="21"/>
      <c r="J204" s="106"/>
    </row>
    <row r="205" spans="1:10" ht="15.75">
      <c r="A205" s="21"/>
      <c r="B205" s="21"/>
      <c r="C205" s="21"/>
      <c r="D205" s="21"/>
      <c r="E205" s="21"/>
      <c r="F205" s="21"/>
      <c r="G205" s="21"/>
      <c r="H205" s="21"/>
      <c r="I205" s="21"/>
      <c r="J205" s="106"/>
    </row>
    <row r="206" spans="1:10" ht="15.75">
      <c r="A206" s="21"/>
      <c r="B206" s="21"/>
      <c r="C206" s="21"/>
      <c r="D206" s="21"/>
      <c r="E206" s="21"/>
      <c r="F206" s="21"/>
      <c r="G206" s="21"/>
      <c r="H206" s="21"/>
      <c r="I206" s="21"/>
      <c r="J206" s="106"/>
    </row>
    <row r="207" spans="1:10" ht="15.75">
      <c r="A207" s="21"/>
      <c r="B207" s="21"/>
      <c r="C207" s="21"/>
      <c r="D207" s="21"/>
      <c r="E207" s="21"/>
      <c r="F207" s="21"/>
      <c r="G207" s="21"/>
      <c r="H207" s="21"/>
      <c r="I207" s="21"/>
      <c r="J207" s="106"/>
    </row>
    <row r="208" spans="1:10" ht="15.75">
      <c r="A208" s="21"/>
      <c r="B208" s="21"/>
      <c r="C208" s="21"/>
      <c r="D208" s="21"/>
      <c r="E208" s="21"/>
      <c r="F208" s="21"/>
      <c r="G208" s="21"/>
      <c r="H208" s="21"/>
      <c r="I208" s="21"/>
      <c r="J208" s="106"/>
    </row>
    <row r="209" spans="1:10" ht="15.75">
      <c r="A209" s="21"/>
      <c r="B209" s="21"/>
      <c r="C209" s="21"/>
      <c r="D209" s="21"/>
      <c r="E209" s="21"/>
      <c r="F209" s="21"/>
      <c r="G209" s="21"/>
      <c r="H209" s="21"/>
      <c r="I209" s="21"/>
      <c r="J209" s="106"/>
    </row>
    <row r="210" spans="1:10" ht="15.75">
      <c r="A210" s="21"/>
      <c r="B210" s="21"/>
      <c r="C210" s="21"/>
      <c r="D210" s="21"/>
      <c r="E210" s="21"/>
      <c r="F210" s="21"/>
      <c r="G210" s="21"/>
      <c r="H210" s="21"/>
      <c r="I210" s="21"/>
      <c r="J210" s="106"/>
    </row>
    <row r="211" spans="1:10" ht="15.75">
      <c r="A211" s="21"/>
      <c r="B211" s="21"/>
      <c r="C211" s="21"/>
      <c r="D211" s="21"/>
      <c r="E211" s="21"/>
      <c r="F211" s="21"/>
      <c r="G211" s="21"/>
      <c r="H211" s="21"/>
      <c r="I211" s="21"/>
      <c r="J211" s="106"/>
    </row>
    <row r="212" spans="1:10" ht="15.75">
      <c r="A212" s="21"/>
      <c r="B212" s="21"/>
      <c r="C212" s="21"/>
      <c r="D212" s="21"/>
      <c r="E212" s="21"/>
      <c r="F212" s="21"/>
      <c r="G212" s="21"/>
      <c r="H212" s="21"/>
      <c r="I212" s="21"/>
      <c r="J212" s="106"/>
    </row>
    <row r="213" spans="1:10" ht="15.75">
      <c r="A213" s="21"/>
      <c r="B213" s="21"/>
      <c r="C213" s="21"/>
      <c r="D213" s="21"/>
      <c r="E213" s="21"/>
      <c r="F213" s="21"/>
      <c r="G213" s="21"/>
      <c r="H213" s="21"/>
      <c r="I213" s="21"/>
      <c r="J213" s="106"/>
    </row>
    <row r="214" spans="1:10" ht="15.75">
      <c r="A214" s="21"/>
      <c r="B214" s="21"/>
      <c r="C214" s="21"/>
      <c r="D214" s="21"/>
      <c r="E214" s="21"/>
      <c r="F214" s="21"/>
      <c r="G214" s="21"/>
      <c r="H214" s="21"/>
      <c r="I214" s="21"/>
      <c r="J214" s="106"/>
    </row>
    <row r="215" spans="1:10" ht="15.75">
      <c r="A215" s="21"/>
      <c r="B215" s="21"/>
      <c r="C215" s="21"/>
      <c r="D215" s="21"/>
      <c r="E215" s="21"/>
      <c r="F215" s="21"/>
      <c r="G215" s="21"/>
      <c r="H215" s="21"/>
      <c r="I215" s="21"/>
      <c r="J215" s="106"/>
    </row>
    <row r="216" spans="1:10" ht="15.75">
      <c r="A216" s="21"/>
      <c r="B216" s="21"/>
      <c r="C216" s="21"/>
      <c r="D216" s="21"/>
      <c r="E216" s="21"/>
      <c r="F216" s="21"/>
      <c r="G216" s="21"/>
      <c r="H216" s="21"/>
      <c r="I216" s="21"/>
      <c r="J216" s="106"/>
    </row>
    <row r="217" spans="1:10" ht="15.75">
      <c r="A217" s="21"/>
      <c r="B217" s="21"/>
      <c r="C217" s="21"/>
      <c r="D217" s="21"/>
      <c r="E217" s="21"/>
      <c r="F217" s="21"/>
      <c r="G217" s="21"/>
      <c r="H217" s="21"/>
      <c r="I217" s="21"/>
      <c r="J217" s="106"/>
    </row>
    <row r="218" spans="1:10" ht="15.75">
      <c r="A218" s="21"/>
      <c r="B218" s="21"/>
      <c r="C218" s="21"/>
      <c r="D218" s="21"/>
      <c r="E218" s="21"/>
      <c r="F218" s="21"/>
      <c r="G218" s="21"/>
      <c r="H218" s="21"/>
      <c r="I218" s="21"/>
      <c r="J218" s="106"/>
    </row>
    <row r="219" spans="1:10" ht="15.75">
      <c r="A219" s="21"/>
      <c r="B219" s="21"/>
      <c r="C219" s="21"/>
      <c r="D219" s="21"/>
      <c r="E219" s="21"/>
      <c r="F219" s="21"/>
      <c r="G219" s="21"/>
      <c r="H219" s="21"/>
      <c r="I219" s="21"/>
      <c r="J219" s="106"/>
    </row>
    <row r="220" spans="1:10" ht="15.75">
      <c r="A220" s="21"/>
      <c r="B220" s="21"/>
      <c r="C220" s="21"/>
      <c r="D220" s="21"/>
      <c r="E220" s="21"/>
      <c r="F220" s="21"/>
      <c r="G220" s="21"/>
      <c r="H220" s="21"/>
      <c r="I220" s="21"/>
      <c r="J220" s="106"/>
    </row>
    <row r="221" spans="1:10" ht="15.75">
      <c r="A221" s="21"/>
      <c r="B221" s="21"/>
      <c r="C221" s="21"/>
      <c r="D221" s="21"/>
      <c r="E221" s="21"/>
      <c r="F221" s="21"/>
      <c r="G221" s="21"/>
      <c r="H221" s="21"/>
      <c r="I221" s="21"/>
      <c r="J221" s="106"/>
    </row>
    <row r="222" spans="1:10" ht="15.75">
      <c r="A222" s="21"/>
      <c r="B222" s="21"/>
      <c r="C222" s="21"/>
      <c r="D222" s="21"/>
      <c r="E222" s="21"/>
      <c r="F222" s="21"/>
      <c r="G222" s="21"/>
      <c r="H222" s="21"/>
      <c r="I222" s="21"/>
      <c r="J222" s="106"/>
    </row>
    <row r="223" spans="1:10" ht="15.75">
      <c r="A223" s="21"/>
      <c r="B223" s="21"/>
      <c r="C223" s="21"/>
      <c r="D223" s="21"/>
      <c r="E223" s="21"/>
      <c r="F223" s="21"/>
      <c r="G223" s="21"/>
      <c r="H223" s="21"/>
      <c r="I223" s="21"/>
      <c r="J223" s="106"/>
    </row>
    <row r="224" spans="1:10" ht="15.75">
      <c r="A224" s="21"/>
      <c r="B224" s="21"/>
      <c r="C224" s="21"/>
      <c r="D224" s="21"/>
      <c r="E224" s="21"/>
      <c r="F224" s="21"/>
      <c r="G224" s="21"/>
      <c r="H224" s="21"/>
      <c r="I224" s="21"/>
      <c r="J224" s="106"/>
    </row>
    <row r="225" spans="1:10" ht="15.75">
      <c r="A225" s="21"/>
      <c r="B225" s="21"/>
      <c r="C225" s="21"/>
      <c r="D225" s="21"/>
      <c r="E225" s="21"/>
      <c r="F225" s="21"/>
      <c r="G225" s="21"/>
      <c r="H225" s="21"/>
      <c r="I225" s="21"/>
      <c r="J225" s="106"/>
    </row>
    <row r="226" spans="1:10" ht="15.75">
      <c r="A226" s="21"/>
      <c r="B226" s="21"/>
      <c r="C226" s="21"/>
      <c r="D226" s="21"/>
      <c r="E226" s="21"/>
      <c r="F226" s="21"/>
      <c r="G226" s="21"/>
      <c r="H226" s="21"/>
      <c r="I226" s="21"/>
      <c r="J226" s="106"/>
    </row>
    <row r="227" spans="1:10" ht="15.75">
      <c r="A227" s="21"/>
      <c r="B227" s="21"/>
      <c r="C227" s="21"/>
      <c r="D227" s="21"/>
      <c r="E227" s="21"/>
      <c r="F227" s="21"/>
      <c r="G227" s="21"/>
      <c r="H227" s="21"/>
      <c r="I227" s="21"/>
      <c r="J227" s="106"/>
    </row>
    <row r="228" spans="1:10" ht="15.75">
      <c r="A228" s="21"/>
      <c r="B228" s="21"/>
      <c r="C228" s="21"/>
      <c r="D228" s="21"/>
      <c r="E228" s="21"/>
      <c r="F228" s="21"/>
      <c r="G228" s="21"/>
      <c r="H228" s="21"/>
      <c r="I228" s="21"/>
      <c r="J228" s="106"/>
    </row>
    <row r="229" spans="1:10" ht="15.75">
      <c r="A229" s="21"/>
      <c r="B229" s="21"/>
      <c r="C229" s="21"/>
      <c r="D229" s="21"/>
      <c r="E229" s="21"/>
      <c r="F229" s="21"/>
      <c r="G229" s="21"/>
      <c r="H229" s="21"/>
      <c r="I229" s="21"/>
      <c r="J229" s="106"/>
    </row>
    <row r="230" spans="1:10" ht="15.75">
      <c r="A230" s="21"/>
      <c r="B230" s="21"/>
      <c r="C230" s="21"/>
      <c r="D230" s="21"/>
      <c r="E230" s="21"/>
      <c r="F230" s="21"/>
      <c r="G230" s="21"/>
      <c r="H230" s="21"/>
      <c r="I230" s="21"/>
      <c r="J230" s="106"/>
    </row>
    <row r="231" spans="1:10" ht="15.75">
      <c r="A231" s="21"/>
      <c r="B231" s="21"/>
      <c r="C231" s="21"/>
      <c r="D231" s="21"/>
      <c r="E231" s="21"/>
      <c r="F231" s="21"/>
      <c r="G231" s="21"/>
      <c r="H231" s="21"/>
      <c r="I231" s="21"/>
      <c r="J231" s="106"/>
    </row>
    <row r="232" spans="1:10" ht="15.75">
      <c r="A232" s="21"/>
      <c r="B232" s="21"/>
      <c r="C232" s="21"/>
      <c r="D232" s="21"/>
      <c r="E232" s="21"/>
      <c r="F232" s="21"/>
      <c r="G232" s="21"/>
      <c r="H232" s="21"/>
      <c r="I232" s="21"/>
      <c r="J232" s="106"/>
    </row>
    <row r="233" spans="1:10" ht="15.75">
      <c r="A233" s="21"/>
      <c r="B233" s="21"/>
      <c r="C233" s="21"/>
      <c r="D233" s="21"/>
      <c r="E233" s="21"/>
      <c r="F233" s="21"/>
      <c r="G233" s="21"/>
      <c r="H233" s="21"/>
      <c r="I233" s="21"/>
      <c r="J233" s="106"/>
    </row>
    <row r="234" spans="1:10" ht="15.75">
      <c r="A234" s="21"/>
      <c r="B234" s="21"/>
      <c r="C234" s="21"/>
      <c r="D234" s="21"/>
      <c r="E234" s="21"/>
      <c r="F234" s="21"/>
      <c r="G234" s="21"/>
      <c r="H234" s="21"/>
      <c r="I234" s="21"/>
      <c r="J234" s="106"/>
    </row>
    <row r="235" spans="1:10" ht="15.75">
      <c r="A235" s="21"/>
      <c r="B235" s="21"/>
      <c r="C235" s="21"/>
      <c r="D235" s="21"/>
      <c r="E235" s="21"/>
      <c r="F235" s="21"/>
      <c r="G235" s="21"/>
      <c r="H235" s="21"/>
      <c r="I235" s="21"/>
      <c r="J235" s="106"/>
    </row>
    <row r="236" spans="1:10" ht="15.75">
      <c r="A236" s="21"/>
      <c r="B236" s="21"/>
      <c r="C236" s="21"/>
      <c r="D236" s="21"/>
      <c r="E236" s="21"/>
      <c r="F236" s="21"/>
      <c r="G236" s="21"/>
      <c r="H236" s="21"/>
      <c r="I236" s="21"/>
      <c r="J236" s="106"/>
    </row>
    <row r="237" spans="1:10" ht="15.75">
      <c r="A237" s="21"/>
      <c r="B237" s="21"/>
      <c r="C237" s="21"/>
      <c r="D237" s="21"/>
      <c r="E237" s="21"/>
      <c r="F237" s="21"/>
      <c r="G237" s="21"/>
      <c r="H237" s="21"/>
      <c r="I237" s="21"/>
      <c r="J237" s="106"/>
    </row>
    <row r="238" spans="1:10" ht="15.75">
      <c r="A238" s="21"/>
      <c r="B238" s="21"/>
      <c r="C238" s="21"/>
      <c r="D238" s="21"/>
      <c r="E238" s="21"/>
      <c r="F238" s="21"/>
      <c r="G238" s="21"/>
      <c r="H238" s="21"/>
      <c r="I238" s="21"/>
      <c r="J238" s="106"/>
    </row>
    <row r="239" spans="1:10" ht="15.75">
      <c r="A239" s="21"/>
      <c r="B239" s="21"/>
      <c r="C239" s="21"/>
      <c r="D239" s="21"/>
      <c r="E239" s="21"/>
      <c r="F239" s="21"/>
      <c r="G239" s="21"/>
      <c r="H239" s="21"/>
      <c r="I239" s="21"/>
      <c r="J239" s="106"/>
    </row>
    <row r="240" spans="1:10" ht="15.75">
      <c r="A240" s="21"/>
      <c r="B240" s="21"/>
      <c r="C240" s="21"/>
      <c r="D240" s="21"/>
      <c r="E240" s="21"/>
      <c r="F240" s="21"/>
      <c r="G240" s="21"/>
      <c r="H240" s="21"/>
      <c r="I240" s="21"/>
      <c r="J240" s="106"/>
    </row>
    <row r="241" spans="1:10" ht="15.75">
      <c r="A241" s="21"/>
      <c r="B241" s="21"/>
      <c r="C241" s="21"/>
      <c r="D241" s="21"/>
      <c r="E241" s="21"/>
      <c r="F241" s="21"/>
      <c r="G241" s="21"/>
      <c r="H241" s="21"/>
      <c r="I241" s="21"/>
      <c r="J241" s="106"/>
    </row>
    <row r="242" spans="1:10" ht="15.75">
      <c r="A242" s="21"/>
      <c r="B242" s="21"/>
      <c r="C242" s="21"/>
      <c r="D242" s="21"/>
      <c r="E242" s="21"/>
      <c r="F242" s="21"/>
      <c r="G242" s="21"/>
      <c r="H242" s="21"/>
      <c r="I242" s="21"/>
      <c r="J242" s="106"/>
    </row>
    <row r="243" spans="1:10" ht="15.75">
      <c r="A243" s="21"/>
      <c r="B243" s="21"/>
      <c r="C243" s="21"/>
      <c r="D243" s="21"/>
      <c r="E243" s="21"/>
      <c r="F243" s="21"/>
      <c r="G243" s="21"/>
      <c r="H243" s="21"/>
      <c r="I243" s="21"/>
      <c r="J243" s="106"/>
    </row>
  </sheetData>
  <printOptions horizontalCentered="1" verticalCentered="1"/>
  <pageMargins left="0.037401575" right="0.037401575" top="0.236220472440945" bottom="1" header="0" footer="0"/>
  <pageSetup horizontalDpi="200" verticalDpi="200" orientation="landscape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0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79" sqref="C79"/>
    </sheetView>
  </sheetViews>
  <sheetFormatPr defaultColWidth="11.421875" defaultRowHeight="12.75"/>
  <cols>
    <col min="1" max="1" width="51.28125" style="0" customWidth="1"/>
    <col min="2" max="2" width="5.28125" style="0" customWidth="1"/>
    <col min="3" max="4" width="8.28125" style="0" customWidth="1"/>
    <col min="5" max="5" width="10.140625" style="0" customWidth="1"/>
    <col min="6" max="6" width="9.57421875" style="0" customWidth="1"/>
    <col min="7" max="8" width="10.28125" style="0" customWidth="1"/>
    <col min="9" max="9" width="10.7109375" style="0" customWidth="1"/>
    <col min="10" max="10" width="92.7109375" style="0" customWidth="1"/>
  </cols>
  <sheetData>
    <row r="1" spans="1:10" ht="17.25" thickBot="1" thickTop="1">
      <c r="A1" s="275" t="s">
        <v>862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ht="16.5" thickTop="1">
      <c r="A3" s="182">
        <v>10.1</v>
      </c>
      <c r="B3" s="124"/>
      <c r="C3" s="124"/>
      <c r="D3" s="141"/>
      <c r="E3" s="141"/>
      <c r="F3" s="141"/>
      <c r="G3" s="124"/>
      <c r="H3" s="141"/>
      <c r="I3" s="124"/>
      <c r="J3" s="169"/>
    </row>
    <row r="4" spans="1:10" s="1" customFormat="1" ht="15.75">
      <c r="A4" s="172" t="s">
        <v>863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s="1" customFormat="1" ht="15.75">
      <c r="A5" s="173" t="s">
        <v>864</v>
      </c>
      <c r="B5" s="24" t="s">
        <v>387</v>
      </c>
      <c r="C5" s="24" t="s">
        <v>287</v>
      </c>
      <c r="D5" s="24" t="s">
        <v>355</v>
      </c>
      <c r="E5" s="3">
        <v>320</v>
      </c>
      <c r="F5" s="14">
        <f aca="true" t="shared" si="0" ref="F5:F10">IF(D5="ag-01",0.12,IF(D5="ar-03",12.03,IF(D5="ar-04",32.71,IF(D5="md-03",3.3,IF(D5="op-02",4.31,IF(D5="op-01",6.89,IF(D5="ef-01",0.95,IF(D5="ac-04",0.51))))))))</f>
        <v>0.12</v>
      </c>
      <c r="G5" s="25">
        <f aca="true" t="shared" si="1" ref="G5:G10">E5*F5</f>
        <v>38.4</v>
      </c>
      <c r="I5" s="95">
        <f>SUM(G14,H14)</f>
        <v>559.7414</v>
      </c>
      <c r="J5" s="5"/>
    </row>
    <row r="6" spans="1:10" s="1" customFormat="1" ht="15.75">
      <c r="A6" s="174" t="s">
        <v>865</v>
      </c>
      <c r="B6" s="24"/>
      <c r="C6" s="24" t="s">
        <v>357</v>
      </c>
      <c r="D6" s="24" t="s">
        <v>560</v>
      </c>
      <c r="E6" s="3">
        <v>0.66</v>
      </c>
      <c r="F6" s="14">
        <f t="shared" si="0"/>
        <v>12.03</v>
      </c>
      <c r="G6" s="25">
        <f t="shared" si="1"/>
        <v>7.9398</v>
      </c>
      <c r="I6" s="95"/>
      <c r="J6" s="5"/>
    </row>
    <row r="7" spans="1:10" s="1" customFormat="1" ht="15.75">
      <c r="A7" s="174" t="s">
        <v>708</v>
      </c>
      <c r="B7" s="24"/>
      <c r="C7" s="24" t="s">
        <v>357</v>
      </c>
      <c r="D7" s="24" t="s">
        <v>701</v>
      </c>
      <c r="E7" s="3">
        <v>0.66</v>
      </c>
      <c r="F7" s="14">
        <f t="shared" si="0"/>
        <v>32.71</v>
      </c>
      <c r="G7" s="25">
        <f t="shared" si="1"/>
        <v>21.588600000000003</v>
      </c>
      <c r="I7" s="95"/>
      <c r="J7" s="5"/>
    </row>
    <row r="8" spans="1:10" s="1" customFormat="1" ht="15.75">
      <c r="A8" s="174" t="s">
        <v>709</v>
      </c>
      <c r="B8" s="24"/>
      <c r="C8" s="24" t="s">
        <v>294</v>
      </c>
      <c r="D8" s="24" t="s">
        <v>866</v>
      </c>
      <c r="E8" s="3">
        <v>7.44</v>
      </c>
      <c r="F8" s="14">
        <f t="shared" si="0"/>
        <v>3.3</v>
      </c>
      <c r="G8" s="25">
        <f t="shared" si="1"/>
        <v>24.552</v>
      </c>
      <c r="I8" s="95"/>
      <c r="J8" s="5"/>
    </row>
    <row r="9" spans="1:10" s="1" customFormat="1" ht="15.75">
      <c r="A9" s="174" t="s">
        <v>520</v>
      </c>
      <c r="B9" s="24"/>
      <c r="C9" s="24" t="s">
        <v>287</v>
      </c>
      <c r="D9" s="24" t="s">
        <v>521</v>
      </c>
      <c r="E9" s="3">
        <v>6.38</v>
      </c>
      <c r="F9" s="14">
        <f t="shared" si="0"/>
        <v>0.95</v>
      </c>
      <c r="G9" s="25">
        <f t="shared" si="1"/>
        <v>6.061</v>
      </c>
      <c r="I9" s="95"/>
      <c r="J9" s="5"/>
    </row>
    <row r="10" spans="1:10" s="1" customFormat="1" ht="15.75">
      <c r="A10" s="174" t="s">
        <v>702</v>
      </c>
      <c r="B10" s="24"/>
      <c r="C10" s="2" t="s">
        <v>287</v>
      </c>
      <c r="D10" s="2" t="s">
        <v>703</v>
      </c>
      <c r="E10" s="3">
        <v>103</v>
      </c>
      <c r="F10" s="14">
        <f t="shared" si="0"/>
        <v>0.51</v>
      </c>
      <c r="G10" s="25">
        <f t="shared" si="1"/>
        <v>52.53</v>
      </c>
      <c r="I10" s="95"/>
      <c r="J10" s="5"/>
    </row>
    <row r="11" spans="1:10" s="1" customFormat="1" ht="15.75">
      <c r="A11" s="174" t="s">
        <v>867</v>
      </c>
      <c r="B11" s="24"/>
      <c r="C11" s="24" t="s">
        <v>287</v>
      </c>
      <c r="D11" s="24" t="s">
        <v>711</v>
      </c>
      <c r="E11" s="3">
        <v>1.03</v>
      </c>
      <c r="F11" s="14">
        <f>IF(D11="ag-01",0.12,IF(D11="ar-03",12.03,IF(D11="ar-04",32.71,IF(D11="md-03",3.3,IF(D11="op-02",4.31,IF(D11="op-01",6.89,IF(D11="ef-01",0.95,IF(D11="al-02",1))))))))</f>
        <v>1</v>
      </c>
      <c r="G11" s="25">
        <f>E11*F11</f>
        <v>1.03</v>
      </c>
      <c r="I11" s="95"/>
      <c r="J11" s="5"/>
    </row>
    <row r="12" spans="1:10" s="1" customFormat="1" ht="15.75">
      <c r="A12" s="174" t="s">
        <v>289</v>
      </c>
      <c r="B12" s="24"/>
      <c r="C12" s="24" t="s">
        <v>228</v>
      </c>
      <c r="D12" s="24" t="s">
        <v>290</v>
      </c>
      <c r="E12" s="3">
        <v>42</v>
      </c>
      <c r="F12" s="14">
        <f>+C77</f>
        <v>6.89</v>
      </c>
      <c r="H12" s="25">
        <f>E12*F12</f>
        <v>289.38</v>
      </c>
      <c r="I12" s="95"/>
      <c r="J12" s="5"/>
    </row>
    <row r="13" spans="1:10" s="1" customFormat="1" ht="15.75">
      <c r="A13" s="174" t="s">
        <v>227</v>
      </c>
      <c r="B13" s="24"/>
      <c r="C13" s="24" t="s">
        <v>228</v>
      </c>
      <c r="D13" s="24" t="s">
        <v>229</v>
      </c>
      <c r="E13" s="3">
        <v>27</v>
      </c>
      <c r="F13" s="14">
        <f>+C78</f>
        <v>4.38</v>
      </c>
      <c r="H13" s="25">
        <f>E13*F13</f>
        <v>118.25999999999999</v>
      </c>
      <c r="I13" s="95"/>
      <c r="J13" s="5"/>
    </row>
    <row r="14" spans="1:10" s="1" customFormat="1" ht="15.75">
      <c r="A14" s="174"/>
      <c r="B14" s="24"/>
      <c r="C14" s="24"/>
      <c r="D14" s="24"/>
      <c r="E14" s="3"/>
      <c r="F14" s="14"/>
      <c r="G14" s="85">
        <f>SUM(G5:G11)</f>
        <v>152.1014</v>
      </c>
      <c r="H14" s="85">
        <f>SUM(H12:H13)</f>
        <v>407.64</v>
      </c>
      <c r="I14" s="95"/>
      <c r="J14" s="5"/>
    </row>
    <row r="15" spans="1:10" s="1" customFormat="1" ht="15.75">
      <c r="A15" s="174"/>
      <c r="B15" s="24"/>
      <c r="C15" s="24"/>
      <c r="D15" s="24"/>
      <c r="E15" s="3"/>
      <c r="F15" s="14"/>
      <c r="G15" s="85"/>
      <c r="H15" s="85"/>
      <c r="I15" s="95"/>
      <c r="J15" s="5"/>
    </row>
    <row r="16" spans="1:10" s="1" customFormat="1" ht="15.75">
      <c r="A16" s="173" t="s">
        <v>868</v>
      </c>
      <c r="B16" s="24" t="s">
        <v>389</v>
      </c>
      <c r="C16" s="24" t="s">
        <v>287</v>
      </c>
      <c r="D16" s="24" t="s">
        <v>355</v>
      </c>
      <c r="E16" s="3">
        <v>320</v>
      </c>
      <c r="F16" s="14">
        <f aca="true" t="shared" si="2" ref="F16:F21">IF(D16="ag-01",0.12,IF(D16="ar-03",12.03,IF(D16="ar-04",32.71,IF(D16="md-03",3.3,IF(D16="op-02",4.31,IF(D16="op-01",6.89,IF(D16="ef-01",0.95,IF(D16="ac-04",0.51))))))))</f>
        <v>0.12</v>
      </c>
      <c r="G16" s="25">
        <f aca="true" t="shared" si="3" ref="G16:G22">E16*F16</f>
        <v>38.4</v>
      </c>
      <c r="I16" s="95">
        <f>SUM(G25,H25)</f>
        <v>442.10490000000004</v>
      </c>
      <c r="J16" s="5"/>
    </row>
    <row r="17" spans="1:10" s="1" customFormat="1" ht="15.75">
      <c r="A17" s="174" t="s">
        <v>865</v>
      </c>
      <c r="B17" s="24"/>
      <c r="C17" s="24" t="s">
        <v>357</v>
      </c>
      <c r="D17" s="24" t="s">
        <v>560</v>
      </c>
      <c r="E17" s="3">
        <v>0.66</v>
      </c>
      <c r="F17" s="14">
        <f t="shared" si="2"/>
        <v>12.03</v>
      </c>
      <c r="G17" s="25">
        <f t="shared" si="3"/>
        <v>7.9398</v>
      </c>
      <c r="I17" s="95"/>
      <c r="J17" s="5"/>
    </row>
    <row r="18" spans="1:10" s="1" customFormat="1" ht="15.75">
      <c r="A18" s="174" t="s">
        <v>708</v>
      </c>
      <c r="B18" s="24"/>
      <c r="C18" s="2" t="s">
        <v>357</v>
      </c>
      <c r="D18" s="24" t="s">
        <v>701</v>
      </c>
      <c r="E18" s="3">
        <v>0.66</v>
      </c>
      <c r="F18" s="14">
        <f t="shared" si="2"/>
        <v>32.71</v>
      </c>
      <c r="G18" s="25">
        <f t="shared" si="3"/>
        <v>21.588600000000003</v>
      </c>
      <c r="I18" s="95"/>
      <c r="J18" s="5"/>
    </row>
    <row r="19" spans="1:10" s="1" customFormat="1" ht="15.75">
      <c r="A19" s="174" t="s">
        <v>709</v>
      </c>
      <c r="B19" s="24"/>
      <c r="C19" s="24" t="s">
        <v>294</v>
      </c>
      <c r="D19" s="24" t="s">
        <v>866</v>
      </c>
      <c r="E19" s="3">
        <v>4.35</v>
      </c>
      <c r="F19" s="14">
        <f t="shared" si="2"/>
        <v>3.3</v>
      </c>
      <c r="G19" s="25">
        <f t="shared" si="3"/>
        <v>14.354999999999999</v>
      </c>
      <c r="I19" s="95"/>
      <c r="J19" s="5"/>
    </row>
    <row r="20" spans="1:10" s="1" customFormat="1" ht="15.75">
      <c r="A20" s="174" t="s">
        <v>520</v>
      </c>
      <c r="B20" s="24"/>
      <c r="C20" s="24" t="s">
        <v>287</v>
      </c>
      <c r="D20" s="24" t="s">
        <v>521</v>
      </c>
      <c r="E20" s="3">
        <v>3.37</v>
      </c>
      <c r="F20" s="14">
        <f t="shared" si="2"/>
        <v>0.95</v>
      </c>
      <c r="G20" s="25">
        <f t="shared" si="3"/>
        <v>3.2015</v>
      </c>
      <c r="I20" s="95"/>
      <c r="J20" s="5"/>
    </row>
    <row r="21" spans="1:10" s="1" customFormat="1" ht="15.75">
      <c r="A21" s="174" t="s">
        <v>702</v>
      </c>
      <c r="B21" s="24"/>
      <c r="C21" s="24" t="s">
        <v>287</v>
      </c>
      <c r="D21" s="2" t="s">
        <v>703</v>
      </c>
      <c r="E21" s="3">
        <v>103</v>
      </c>
      <c r="F21" s="14">
        <f t="shared" si="2"/>
        <v>0.51</v>
      </c>
      <c r="G21" s="25">
        <f t="shared" si="3"/>
        <v>52.53</v>
      </c>
      <c r="I21" s="95"/>
      <c r="J21" s="5"/>
    </row>
    <row r="22" spans="1:10" s="1" customFormat="1" ht="15.75">
      <c r="A22" s="174" t="s">
        <v>867</v>
      </c>
      <c r="B22" s="24"/>
      <c r="C22" s="24" t="s">
        <v>287</v>
      </c>
      <c r="D22" s="24" t="s">
        <v>711</v>
      </c>
      <c r="E22" s="3">
        <v>1.03</v>
      </c>
      <c r="F22" s="14">
        <f aca="true" t="shared" si="4" ref="F22:F31">IF(D22="ag-01",0.12,IF(D22="ar-03",12.03,IF(D22="ar-04",32.71,IF(D22="md-03",3.3,IF(D22="op-02",4.31,IF(D22="op-01",6.89,IF(D22="ef-01",0.95,IF(D22="al-02",1))))))))</f>
        <v>1</v>
      </c>
      <c r="G22" s="25">
        <f t="shared" si="3"/>
        <v>1.03</v>
      </c>
      <c r="I22" s="95"/>
      <c r="J22" s="5"/>
    </row>
    <row r="23" spans="1:10" s="1" customFormat="1" ht="15.75">
      <c r="A23" s="174" t="s">
        <v>289</v>
      </c>
      <c r="B23" s="24"/>
      <c r="C23" s="24" t="s">
        <v>228</v>
      </c>
      <c r="D23" s="24" t="s">
        <v>290</v>
      </c>
      <c r="E23" s="3">
        <v>30</v>
      </c>
      <c r="F23" s="14">
        <f>+C77</f>
        <v>6.89</v>
      </c>
      <c r="H23" s="25">
        <f>E23*F23</f>
        <v>206.7</v>
      </c>
      <c r="I23" s="95"/>
      <c r="J23" s="5"/>
    </row>
    <row r="24" spans="1:10" s="1" customFormat="1" ht="15.75">
      <c r="A24" s="174" t="s">
        <v>227</v>
      </c>
      <c r="B24" s="24"/>
      <c r="C24" s="2" t="s">
        <v>228</v>
      </c>
      <c r="D24" s="24" t="s">
        <v>229</v>
      </c>
      <c r="E24" s="3">
        <v>22</v>
      </c>
      <c r="F24" s="14">
        <f>+C78</f>
        <v>4.38</v>
      </c>
      <c r="H24" s="25">
        <f>E24*F24</f>
        <v>96.36</v>
      </c>
      <c r="I24" s="95"/>
      <c r="J24" s="5"/>
    </row>
    <row r="25" spans="1:10" s="108" customFormat="1" ht="16.5" thickBot="1">
      <c r="A25" s="90"/>
      <c r="B25" s="28"/>
      <c r="C25" s="7"/>
      <c r="D25" s="28"/>
      <c r="E25" s="8"/>
      <c r="F25" s="10"/>
      <c r="G25" s="67">
        <f>SUM(G16:G22)</f>
        <v>139.0449</v>
      </c>
      <c r="H25" s="67">
        <f>SUM(H23:H24)</f>
        <v>303.06</v>
      </c>
      <c r="I25" s="88"/>
      <c r="J25" s="11"/>
    </row>
    <row r="26" spans="1:10" ht="16.5" thickTop="1">
      <c r="A26" s="168">
        <v>10.2</v>
      </c>
      <c r="B26" s="69"/>
      <c r="C26" s="56"/>
      <c r="D26" s="69"/>
      <c r="E26" s="70"/>
      <c r="F26" s="84"/>
      <c r="G26" s="115"/>
      <c r="H26" s="115"/>
      <c r="I26" s="89"/>
      <c r="J26" s="71"/>
    </row>
    <row r="27" spans="1:10" s="1" customFormat="1" ht="15.75">
      <c r="A27" s="172" t="s">
        <v>869</v>
      </c>
      <c r="B27" s="24"/>
      <c r="C27" s="2"/>
      <c r="D27" s="24"/>
      <c r="E27" s="3"/>
      <c r="F27" s="14"/>
      <c r="G27" s="85"/>
      <c r="H27" s="85"/>
      <c r="I27" s="95"/>
      <c r="J27" s="5"/>
    </row>
    <row r="28" spans="1:10" s="1" customFormat="1" ht="15.75">
      <c r="A28" s="172" t="s">
        <v>870</v>
      </c>
      <c r="B28" s="24" t="s">
        <v>387</v>
      </c>
      <c r="C28" s="24" t="s">
        <v>287</v>
      </c>
      <c r="D28" s="24" t="s">
        <v>355</v>
      </c>
      <c r="E28" s="3">
        <v>320</v>
      </c>
      <c r="F28" s="14">
        <f t="shared" si="4"/>
        <v>0.12</v>
      </c>
      <c r="G28" s="25">
        <f aca="true" t="shared" si="5" ref="G28:G34">E28*F28</f>
        <v>38.4</v>
      </c>
      <c r="I28" s="95">
        <f>SUM(G37,H37)</f>
        <v>494.37039999999996</v>
      </c>
      <c r="J28" s="5"/>
    </row>
    <row r="29" spans="1:10" s="1" customFormat="1" ht="15.75">
      <c r="A29" s="174" t="s">
        <v>865</v>
      </c>
      <c r="B29" s="24"/>
      <c r="C29" s="24" t="s">
        <v>357</v>
      </c>
      <c r="D29" s="24" t="s">
        <v>560</v>
      </c>
      <c r="E29" s="3">
        <v>0.66</v>
      </c>
      <c r="F29" s="14">
        <f t="shared" si="4"/>
        <v>12.03</v>
      </c>
      <c r="G29" s="25">
        <f t="shared" si="5"/>
        <v>7.9398</v>
      </c>
      <c r="I29" s="95"/>
      <c r="J29" s="5"/>
    </row>
    <row r="30" spans="1:10" s="1" customFormat="1" ht="15.75">
      <c r="A30" s="174" t="s">
        <v>708</v>
      </c>
      <c r="B30" s="24"/>
      <c r="C30" s="24" t="s">
        <v>357</v>
      </c>
      <c r="D30" s="24" t="s">
        <v>701</v>
      </c>
      <c r="E30" s="3">
        <v>0.66</v>
      </c>
      <c r="F30" s="14">
        <f t="shared" si="4"/>
        <v>32.71</v>
      </c>
      <c r="G30" s="25">
        <f t="shared" si="5"/>
        <v>21.588600000000003</v>
      </c>
      <c r="I30" s="95"/>
      <c r="J30" s="5"/>
    </row>
    <row r="31" spans="1:10" s="1" customFormat="1" ht="15.75">
      <c r="A31" s="174" t="s">
        <v>709</v>
      </c>
      <c r="B31" s="24"/>
      <c r="C31" s="24" t="s">
        <v>294</v>
      </c>
      <c r="D31" s="24" t="s">
        <v>866</v>
      </c>
      <c r="E31" s="3">
        <v>5.84</v>
      </c>
      <c r="F31" s="14">
        <f t="shared" si="4"/>
        <v>3.3</v>
      </c>
      <c r="G31" s="25">
        <f t="shared" si="5"/>
        <v>19.272</v>
      </c>
      <c r="I31" s="95"/>
      <c r="J31" s="5"/>
    </row>
    <row r="32" spans="1:10" s="1" customFormat="1" ht="15.75">
      <c r="A32" s="174" t="s">
        <v>520</v>
      </c>
      <c r="B32" s="24"/>
      <c r="C32" s="24" t="s">
        <v>287</v>
      </c>
      <c r="D32" s="24" t="s">
        <v>521</v>
      </c>
      <c r="E32" s="3">
        <v>5</v>
      </c>
      <c r="F32" s="14">
        <f>IF(D32="ac-04",0.51,IF(D32="ar-03",12.03,IF(D32="ar-04",32.71,IF(D32="md-03",3.3,IF(D32="op-02",4.31,IF(D32="op-01",6.89,IF(D32="ef-01",0.95,IF(D32="al-02",1))))))))</f>
        <v>0.95</v>
      </c>
      <c r="G32" s="25">
        <f t="shared" si="5"/>
        <v>4.75</v>
      </c>
      <c r="I32" s="95"/>
      <c r="J32" s="5"/>
    </row>
    <row r="33" spans="1:10" s="1" customFormat="1" ht="15.75">
      <c r="A33" s="174" t="s">
        <v>702</v>
      </c>
      <c r="B33" s="24"/>
      <c r="C33" s="2" t="s">
        <v>287</v>
      </c>
      <c r="D33" s="2" t="s">
        <v>703</v>
      </c>
      <c r="E33" s="3">
        <v>120</v>
      </c>
      <c r="F33" s="14">
        <f>IF(D33="ac-04",0.51,IF(D33="ar-03",12.03,IF(D33="ar-04",32.71,IF(D33="md-03",3.3,IF(D33="op-02",4.31,IF(D33="op-01",6.89,IF(D33="ef-01",0.95,IF(D33="al-02",1))))))))</f>
        <v>0.51</v>
      </c>
      <c r="G33" s="25">
        <f t="shared" si="5"/>
        <v>61.2</v>
      </c>
      <c r="I33" s="95"/>
      <c r="J33" s="5"/>
    </row>
    <row r="34" spans="1:10" s="1" customFormat="1" ht="15.75">
      <c r="A34" s="174" t="s">
        <v>867</v>
      </c>
      <c r="B34" s="24"/>
      <c r="C34" s="24" t="s">
        <v>287</v>
      </c>
      <c r="D34" s="24" t="s">
        <v>711</v>
      </c>
      <c r="E34" s="3">
        <v>1.2</v>
      </c>
      <c r="F34" s="14">
        <f>IF(D34="ac-04",0.51,IF(D34="ar-03",12.03,IF(D34="ar-04",32.71,IF(D34="md-03",3.3,IF(D34="op-02",4.31,IF(D34="op-01",6.89,IF(D34="ef-01",0.95,IF(D34="al-02",1))))))))</f>
        <v>1</v>
      </c>
      <c r="G34" s="25">
        <f t="shared" si="5"/>
        <v>1.2</v>
      </c>
      <c r="I34" s="95"/>
      <c r="J34" s="5"/>
    </row>
    <row r="35" spans="1:10" s="1" customFormat="1" ht="15.75">
      <c r="A35" s="174" t="s">
        <v>289</v>
      </c>
      <c r="B35" s="24"/>
      <c r="C35" s="24" t="s">
        <v>228</v>
      </c>
      <c r="D35" s="24" t="s">
        <v>290</v>
      </c>
      <c r="E35" s="3">
        <v>36</v>
      </c>
      <c r="F35" s="14">
        <f>+C77</f>
        <v>6.89</v>
      </c>
      <c r="H35" s="25">
        <f>E35*F35</f>
        <v>248.04</v>
      </c>
      <c r="I35" s="95"/>
      <c r="J35" s="5"/>
    </row>
    <row r="36" spans="1:10" s="1" customFormat="1" ht="15.75">
      <c r="A36" s="174" t="s">
        <v>227</v>
      </c>
      <c r="B36" s="24"/>
      <c r="C36" s="24" t="s">
        <v>228</v>
      </c>
      <c r="D36" s="24" t="s">
        <v>229</v>
      </c>
      <c r="E36" s="3">
        <v>21</v>
      </c>
      <c r="F36" s="14">
        <f>+C78</f>
        <v>4.38</v>
      </c>
      <c r="H36" s="25">
        <f>E36*F36</f>
        <v>91.98</v>
      </c>
      <c r="I36" s="95"/>
      <c r="J36" s="5"/>
    </row>
    <row r="37" spans="1:10" s="1" customFormat="1" ht="15.75">
      <c r="A37" s="174"/>
      <c r="B37" s="24"/>
      <c r="C37" s="24"/>
      <c r="D37" s="24"/>
      <c r="E37" s="3"/>
      <c r="F37" s="14"/>
      <c r="G37" s="85">
        <f>SUM(G28:G34)</f>
        <v>154.35039999999998</v>
      </c>
      <c r="H37" s="85">
        <f>SUM(H35:H36)</f>
        <v>340.02</v>
      </c>
      <c r="I37" s="95"/>
      <c r="J37" s="5"/>
    </row>
    <row r="38" spans="1:10" s="1" customFormat="1" ht="15.75">
      <c r="A38" s="174"/>
      <c r="B38" s="24"/>
      <c r="C38" s="24"/>
      <c r="D38" s="24"/>
      <c r="E38" s="3"/>
      <c r="F38" s="14"/>
      <c r="G38" s="85"/>
      <c r="H38" s="85"/>
      <c r="I38" s="95"/>
      <c r="J38" s="5"/>
    </row>
    <row r="39" spans="1:10" s="1" customFormat="1" ht="15.75">
      <c r="A39" s="173" t="s">
        <v>868</v>
      </c>
      <c r="B39" s="24" t="s">
        <v>389</v>
      </c>
      <c r="C39" s="24" t="s">
        <v>287</v>
      </c>
      <c r="D39" s="24" t="s">
        <v>355</v>
      </c>
      <c r="E39" s="3">
        <v>320</v>
      </c>
      <c r="F39" s="14">
        <f>IF(D39="ag-01",0.12,IF(D39="ar-03",12.03,IF(D39="ar-04",32.71,IF(D39="md-03",3.3,IF(D39="op-02",4.31,IF(D39="op-01",6.89,IF(D39="ef-01",0.95,IF(D39="al-02",1))))))))</f>
        <v>0.12</v>
      </c>
      <c r="G39" s="25">
        <f aca="true" t="shared" si="6" ref="G39:G45">E39*F39</f>
        <v>38.4</v>
      </c>
      <c r="I39" s="95">
        <f>SUM(G48,H48)</f>
        <v>331.23839999999996</v>
      </c>
      <c r="J39" s="5"/>
    </row>
    <row r="40" spans="1:10" s="1" customFormat="1" ht="15.75">
      <c r="A40" s="174" t="s">
        <v>865</v>
      </c>
      <c r="B40" s="24"/>
      <c r="C40" s="24" t="s">
        <v>357</v>
      </c>
      <c r="D40" s="24" t="s">
        <v>560</v>
      </c>
      <c r="E40" s="3">
        <v>0.66</v>
      </c>
      <c r="F40" s="14">
        <f>IF(D40="ag-01",0.12,IF(D40="ar-03",12.03,IF(D40="ar-04",32.71,IF(D40="md-03",3.3,IF(D40="op-02",4.31,IF(D40="op-01",6.89,IF(D40="ef-01",0.95,IF(D40="al-02",1))))))))</f>
        <v>12.03</v>
      </c>
      <c r="G40" s="25">
        <f t="shared" si="6"/>
        <v>7.9398</v>
      </c>
      <c r="I40" s="95"/>
      <c r="J40" s="5"/>
    </row>
    <row r="41" spans="1:10" s="1" customFormat="1" ht="15.75">
      <c r="A41" s="174" t="s">
        <v>708</v>
      </c>
      <c r="B41" s="24"/>
      <c r="C41" s="2" t="s">
        <v>357</v>
      </c>
      <c r="D41" s="24" t="s">
        <v>701</v>
      </c>
      <c r="E41" s="3">
        <v>0.66</v>
      </c>
      <c r="F41" s="14">
        <f>IF(D41="ag-01",0.12,IF(D41="ar-03",12.03,IF(D41="ar-04",32.71,IF(D41="md-03",3.3,IF(D41="op-02",4.31,IF(D41="op-01",6.89,IF(D41="ef-01",0.95,IF(D41="al-02",1))))))))</f>
        <v>32.71</v>
      </c>
      <c r="G41" s="25">
        <f t="shared" si="6"/>
        <v>21.588600000000003</v>
      </c>
      <c r="I41" s="95"/>
      <c r="J41" s="5"/>
    </row>
    <row r="42" spans="1:10" s="1" customFormat="1" ht="15.75">
      <c r="A42" s="174" t="s">
        <v>709</v>
      </c>
      <c r="B42" s="24"/>
      <c r="C42" s="2" t="s">
        <v>294</v>
      </c>
      <c r="D42" s="24" t="s">
        <v>866</v>
      </c>
      <c r="E42" s="3">
        <v>2.8</v>
      </c>
      <c r="F42" s="14">
        <f>IF(D42="ag-01",0.12,IF(D42="ar-03",12.03,IF(D42="ar-04",32.71,IF(D42="md-03",3.3,IF(D42="op-02",4.31,IF(D42="op-01",6.89,IF(D42="ef-01",0.95,IF(D42="al-02",1))))))))</f>
        <v>3.3</v>
      </c>
      <c r="G42" s="25">
        <f t="shared" si="6"/>
        <v>9.239999999999998</v>
      </c>
      <c r="I42" s="95"/>
      <c r="J42" s="5"/>
    </row>
    <row r="43" spans="1:10" s="1" customFormat="1" ht="15.75">
      <c r="A43" s="174" t="s">
        <v>520</v>
      </c>
      <c r="B43" s="24"/>
      <c r="C43" s="2" t="s">
        <v>287</v>
      </c>
      <c r="D43" s="24" t="s">
        <v>521</v>
      </c>
      <c r="E43" s="3">
        <v>2.4</v>
      </c>
      <c r="F43" s="14">
        <f>IF(D43="ag-01",0.12,IF(D43="ar-03",12.03,IF(D43="ar-04",32.71,IF(D43="md-03",3.3,IF(D43="op-02",4.31,IF(D43="op-01",6.89,IF(D43="ef-01",0.95,IF(D43="al-02",1))))))))</f>
        <v>0.95</v>
      </c>
      <c r="G43" s="25">
        <f t="shared" si="6"/>
        <v>2.28</v>
      </c>
      <c r="I43" s="95"/>
      <c r="J43" s="5"/>
    </row>
    <row r="44" spans="1:10" s="1" customFormat="1" ht="15.75">
      <c r="A44" s="174" t="s">
        <v>702</v>
      </c>
      <c r="B44" s="24"/>
      <c r="C44" s="2" t="s">
        <v>287</v>
      </c>
      <c r="D44" s="2" t="s">
        <v>703</v>
      </c>
      <c r="E44" s="3">
        <v>88</v>
      </c>
      <c r="F44" s="14">
        <f>IF(D44="ac-04",0.51,IF(D44="ar-03",12.03,IF(D44="ar-04",32.71,IF(D44="md-03",3.3,IF(D44="op-02",4.31,IF(D44="op-01",6.89,IF(D44="ef-01",0.95,IF(D44="al-02",1))))))))</f>
        <v>0.51</v>
      </c>
      <c r="G44" s="25">
        <f t="shared" si="6"/>
        <v>44.88</v>
      </c>
      <c r="I44" s="95"/>
      <c r="J44" s="5"/>
    </row>
    <row r="45" spans="1:10" s="1" customFormat="1" ht="15.75">
      <c r="A45" s="174" t="s">
        <v>867</v>
      </c>
      <c r="B45" s="24"/>
      <c r="C45" s="2" t="s">
        <v>287</v>
      </c>
      <c r="D45" s="24" t="s">
        <v>711</v>
      </c>
      <c r="E45" s="3">
        <v>0.9</v>
      </c>
      <c r="F45" s="14">
        <f>IF(D45="ac-04",0.51,IF(D45="ar-03",12.03,IF(D45="ar-04",32.71,IF(D45="md-03",3.3,IF(D45="op-02",4.31,IF(D45="op-01",6.89,IF(D45="ef-01",0.95,IF(D45="al-02",1))))))))</f>
        <v>1</v>
      </c>
      <c r="G45" s="25">
        <f t="shared" si="6"/>
        <v>0.9</v>
      </c>
      <c r="I45" s="95"/>
      <c r="J45" s="5"/>
    </row>
    <row r="46" spans="1:10" s="1" customFormat="1" ht="15.75">
      <c r="A46" s="174" t="s">
        <v>289</v>
      </c>
      <c r="B46" s="24"/>
      <c r="C46" s="2" t="s">
        <v>228</v>
      </c>
      <c r="D46" s="24" t="s">
        <v>290</v>
      </c>
      <c r="E46" s="3">
        <v>21</v>
      </c>
      <c r="F46" s="14">
        <f>+C77</f>
        <v>6.89</v>
      </c>
      <c r="H46" s="25">
        <f>E46*F46</f>
        <v>144.69</v>
      </c>
      <c r="I46" s="95"/>
      <c r="J46" s="5"/>
    </row>
    <row r="47" spans="1:10" s="1" customFormat="1" ht="15.75">
      <c r="A47" s="174" t="s">
        <v>227</v>
      </c>
      <c r="B47" s="24"/>
      <c r="C47" s="2" t="s">
        <v>228</v>
      </c>
      <c r="D47" s="24" t="s">
        <v>229</v>
      </c>
      <c r="E47" s="3">
        <v>14</v>
      </c>
      <c r="F47" s="14">
        <f>+C78</f>
        <v>4.38</v>
      </c>
      <c r="H47" s="25">
        <f>E47*F47</f>
        <v>61.32</v>
      </c>
      <c r="I47" s="95"/>
      <c r="J47" s="5"/>
    </row>
    <row r="48" spans="1:10" s="108" customFormat="1" ht="16.5" thickBot="1">
      <c r="A48" s="90"/>
      <c r="B48" s="28"/>
      <c r="C48" s="7"/>
      <c r="D48" s="28"/>
      <c r="E48" s="8"/>
      <c r="F48" s="10"/>
      <c r="G48" s="67">
        <f>SUM(G39:G45)</f>
        <v>125.2284</v>
      </c>
      <c r="H48" s="67">
        <f>SUM(H46:H47)</f>
        <v>206.01</v>
      </c>
      <c r="I48" s="88"/>
      <c r="J48" s="11"/>
    </row>
    <row r="49" spans="1:10" ht="16.5" thickTop="1">
      <c r="A49" s="168">
        <v>10.3</v>
      </c>
      <c r="B49" s="69"/>
      <c r="C49" s="56"/>
      <c r="D49" s="69"/>
      <c r="E49" s="70"/>
      <c r="F49" s="84"/>
      <c r="G49" s="115"/>
      <c r="H49" s="115"/>
      <c r="I49" s="89"/>
      <c r="J49" s="71"/>
    </row>
    <row r="50" spans="1:10" s="1" customFormat="1" ht="15.75">
      <c r="A50" s="172" t="s">
        <v>871</v>
      </c>
      <c r="B50" s="24"/>
      <c r="C50" s="2"/>
      <c r="D50" s="24"/>
      <c r="E50" s="3"/>
      <c r="F50" s="14"/>
      <c r="G50" s="85"/>
      <c r="H50" s="85"/>
      <c r="I50" s="95"/>
      <c r="J50" s="5"/>
    </row>
    <row r="51" spans="1:10" s="1" customFormat="1" ht="15.75">
      <c r="A51" s="173" t="s">
        <v>872</v>
      </c>
      <c r="B51" s="24"/>
      <c r="C51" s="2"/>
      <c r="D51" s="24"/>
      <c r="E51" s="3"/>
      <c r="F51" s="14"/>
      <c r="G51" s="85"/>
      <c r="H51" s="85"/>
      <c r="I51" s="95"/>
      <c r="J51" s="5"/>
    </row>
    <row r="52" spans="1:10" s="1" customFormat="1" ht="15.75">
      <c r="A52" s="173" t="s">
        <v>873</v>
      </c>
      <c r="B52" s="24"/>
      <c r="C52" s="2"/>
      <c r="D52" s="24"/>
      <c r="E52" s="3"/>
      <c r="F52" s="14"/>
      <c r="G52" s="85"/>
      <c r="H52" s="85"/>
      <c r="I52" s="95"/>
      <c r="J52" s="5"/>
    </row>
    <row r="53" spans="1:10" s="1" customFormat="1" ht="15.75">
      <c r="A53" s="174" t="s">
        <v>624</v>
      </c>
      <c r="B53" s="24"/>
      <c r="C53" s="2" t="s">
        <v>287</v>
      </c>
      <c r="D53" s="2" t="s">
        <v>355</v>
      </c>
      <c r="E53" s="3">
        <v>7.62</v>
      </c>
      <c r="F53" s="14">
        <f>IF(D53="ag-01",0.12,IF(D53="ar-03",12.03,IF(D53="ar-04",32.71,IF(D53="md-03",3.3,IF(D53="op-02",4.31,IF(D53="op-01",6.89,IF(D53="ef-01",0.95,IF(D53="al-02",1))))))))</f>
        <v>0.12</v>
      </c>
      <c r="G53" s="25">
        <f>E53*F53</f>
        <v>0.9144</v>
      </c>
      <c r="I53" s="95">
        <f>SUM(G53:G57,H58:H59)</f>
        <v>4.89704</v>
      </c>
      <c r="J53" s="5"/>
    </row>
    <row r="54" spans="1:10" s="1" customFormat="1" ht="15.75">
      <c r="A54" s="174" t="s">
        <v>865</v>
      </c>
      <c r="B54" s="24"/>
      <c r="C54" s="2" t="s">
        <v>357</v>
      </c>
      <c r="D54" s="2" t="s">
        <v>560</v>
      </c>
      <c r="E54" s="3">
        <v>0.016</v>
      </c>
      <c r="F54" s="14">
        <f>IF(D54="ag-01",0.12,IF(D54="ar-03",12.03,IF(D54="ar-04",32.71,IF(D54="md-03",3.3,IF(D54="op-02",4.31,IF(D54="op-01",6.89,IF(D54="ef-01",0.95,IF(D54="al-02",1))))))))</f>
        <v>12.03</v>
      </c>
      <c r="G54" s="25">
        <f>E54*F54</f>
        <v>0.19247999999999998</v>
      </c>
      <c r="I54" s="95"/>
      <c r="J54" s="5"/>
    </row>
    <row r="55" spans="1:10" s="1" customFormat="1" ht="15.75">
      <c r="A55" s="174" t="s">
        <v>708</v>
      </c>
      <c r="B55" s="24"/>
      <c r="C55" s="2" t="s">
        <v>357</v>
      </c>
      <c r="D55" s="2" t="s">
        <v>701</v>
      </c>
      <c r="E55" s="3">
        <v>0.016</v>
      </c>
      <c r="F55" s="14">
        <f>IF(D55="ag-01",0.12,IF(D55="ar-03",12.03,IF(D55="ar-04",32.71,IF(D55="md-03",3.3,IF(D55="op-02",4.31,IF(D55="op-01",6.89,IF(D55="ef-01",0.95,IF(D55="al-02",1))))))))</f>
        <v>32.71</v>
      </c>
      <c r="G55" s="25">
        <f>E55*F55</f>
        <v>0.52336</v>
      </c>
      <c r="I55" s="95"/>
      <c r="J55" s="5"/>
    </row>
    <row r="56" spans="1:10" s="1" customFormat="1" ht="15.75">
      <c r="A56" s="174" t="s">
        <v>702</v>
      </c>
      <c r="B56" s="24"/>
      <c r="C56" s="2" t="s">
        <v>287</v>
      </c>
      <c r="D56" s="2" t="s">
        <v>703</v>
      </c>
      <c r="E56" s="3">
        <v>2.13</v>
      </c>
      <c r="F56" s="14">
        <f>IF(D56="ag-01",0.12,IF(D56="ar-03",12.03,IF(D56="ar-04",32.71,IF(D56="ac-04",0.51,IF(D56="op-02",4.31,IF(D56="op-01",6.89,IF(D56="ef-01",0.95,IF(D56="al-02",1))))))))</f>
        <v>0.51</v>
      </c>
      <c r="G56" s="25">
        <f>E56*F56</f>
        <v>1.0863</v>
      </c>
      <c r="I56" s="95"/>
      <c r="J56" s="5"/>
    </row>
    <row r="57" spans="1:10" s="1" customFormat="1" ht="15.75">
      <c r="A57" s="174" t="s">
        <v>867</v>
      </c>
      <c r="B57" s="24"/>
      <c r="C57" s="2" t="s">
        <v>287</v>
      </c>
      <c r="D57" s="2" t="s">
        <v>711</v>
      </c>
      <c r="E57" s="3">
        <v>0.02</v>
      </c>
      <c r="F57" s="14">
        <f>IF(D57="ag-01",0.12,IF(D57="ar-03",12.03,IF(D57="ar-04",32.71,IF(D57="md-03",3.3,IF(D57="op-02",4.31,IF(D57="op-01",6.89,IF(D57="ef-01",0.95,IF(D57="al-02",1))))))))</f>
        <v>1</v>
      </c>
      <c r="G57" s="25">
        <f>E57*F57</f>
        <v>0.02</v>
      </c>
      <c r="I57" s="95"/>
      <c r="J57" s="5"/>
    </row>
    <row r="58" spans="1:10" s="1" customFormat="1" ht="15.75">
      <c r="A58" s="174" t="s">
        <v>289</v>
      </c>
      <c r="B58" s="24"/>
      <c r="C58" s="2" t="s">
        <v>228</v>
      </c>
      <c r="D58" s="2" t="s">
        <v>290</v>
      </c>
      <c r="E58" s="3">
        <v>0.25</v>
      </c>
      <c r="F58" s="14">
        <f>+C77</f>
        <v>6.89</v>
      </c>
      <c r="H58" s="25">
        <f>E58*F58</f>
        <v>1.7225</v>
      </c>
      <c r="I58" s="95"/>
      <c r="J58" s="5"/>
    </row>
    <row r="59" spans="1:10" s="1" customFormat="1" ht="15.75">
      <c r="A59" s="174" t="s">
        <v>227</v>
      </c>
      <c r="B59" s="24"/>
      <c r="C59" s="2" t="s">
        <v>228</v>
      </c>
      <c r="D59" s="2" t="s">
        <v>229</v>
      </c>
      <c r="E59" s="3">
        <v>0.1</v>
      </c>
      <c r="F59" s="14">
        <f>+C78</f>
        <v>4.38</v>
      </c>
      <c r="H59" s="25">
        <f>E59*F59</f>
        <v>0.438</v>
      </c>
      <c r="I59" s="95"/>
      <c r="J59" s="5"/>
    </row>
    <row r="60" spans="1:10" ht="16.5" thickBot="1">
      <c r="A60" s="90"/>
      <c r="B60" s="72"/>
      <c r="C60" s="7"/>
      <c r="D60" s="7"/>
      <c r="E60" s="8"/>
      <c r="F60" s="73"/>
      <c r="G60" s="252">
        <f>SUM(G53:G57)</f>
        <v>2.73654</v>
      </c>
      <c r="H60" s="252">
        <f>SUM(H58:H59)</f>
        <v>2.1605</v>
      </c>
      <c r="I60" s="88"/>
      <c r="J60" s="11"/>
    </row>
    <row r="61" spans="1:10" ht="16.5" thickTop="1">
      <c r="A61" s="168">
        <v>10.4</v>
      </c>
      <c r="B61" s="113"/>
      <c r="C61" s="56"/>
      <c r="D61" s="56"/>
      <c r="E61" s="70"/>
      <c r="F61" s="139"/>
      <c r="G61" s="115"/>
      <c r="H61" s="115"/>
      <c r="I61" s="89"/>
      <c r="J61" s="71"/>
    </row>
    <row r="62" spans="1:10" s="1" customFormat="1" ht="15.75">
      <c r="A62" s="172" t="s">
        <v>874</v>
      </c>
      <c r="B62" s="24"/>
      <c r="C62" s="2"/>
      <c r="D62" s="2"/>
      <c r="E62" s="3"/>
      <c r="F62" s="14"/>
      <c r="G62" s="85"/>
      <c r="H62" s="85"/>
      <c r="I62" s="95"/>
      <c r="J62" s="5"/>
    </row>
    <row r="63" spans="1:10" s="1" customFormat="1" ht="15.75">
      <c r="A63" s="173" t="s">
        <v>875</v>
      </c>
      <c r="B63" s="24"/>
      <c r="C63" s="2"/>
      <c r="D63" s="2"/>
      <c r="E63" s="3"/>
      <c r="F63" s="14"/>
      <c r="G63" s="85"/>
      <c r="H63" s="85"/>
      <c r="I63" s="95"/>
      <c r="J63" s="5"/>
    </row>
    <row r="64" spans="1:10" s="1" customFormat="1" ht="15.75">
      <c r="A64" s="172" t="s">
        <v>876</v>
      </c>
      <c r="B64" s="24"/>
      <c r="C64" s="2" t="s">
        <v>287</v>
      </c>
      <c r="D64" s="24" t="s">
        <v>355</v>
      </c>
      <c r="E64" s="3">
        <v>7</v>
      </c>
      <c r="F64" s="14">
        <f>IF(D64="ag-01",0.12,IF(D64="ar-03",12.03,IF(D64="ar-04",32.71,IF(D64="md-03",3.3,IF(D64="op-02",4.31,IF(D64="op-01",6.89,IF(D64="ef-01",0.95,IF(D64="al-02",1))))))))</f>
        <v>0.12</v>
      </c>
      <c r="G64" s="25">
        <f aca="true" t="shared" si="7" ref="G64:G70">E64*F64</f>
        <v>0.84</v>
      </c>
      <c r="I64" s="95">
        <f>SUM(G64:G70,H71:H72)</f>
        <v>14.379499999999998</v>
      </c>
      <c r="J64" s="5"/>
    </row>
    <row r="65" spans="1:10" s="1" customFormat="1" ht="15.75">
      <c r="A65" s="174" t="s">
        <v>865</v>
      </c>
      <c r="B65" s="24"/>
      <c r="C65" s="2" t="s">
        <v>357</v>
      </c>
      <c r="D65" s="24" t="s">
        <v>560</v>
      </c>
      <c r="E65" s="3">
        <v>0.015</v>
      </c>
      <c r="F65" s="14">
        <f>IF(D65="ag-01",0.12,IF(D65="ar-03",12.03,IF(D65="ar-04",32.71,IF(D65="md-03",3.3,IF(D65="op-02",4.31,IF(D65="op-01",6.89,IF(D65="ef-01",0.95,IF(D65="al-02",1))))))))</f>
        <v>12.03</v>
      </c>
      <c r="G65" s="25">
        <f t="shared" si="7"/>
        <v>0.18044999999999997</v>
      </c>
      <c r="I65" s="95"/>
      <c r="J65" s="5"/>
    </row>
    <row r="66" spans="1:10" s="1" customFormat="1" ht="15.75">
      <c r="A66" s="174" t="s">
        <v>708</v>
      </c>
      <c r="B66" s="24"/>
      <c r="C66" s="2" t="s">
        <v>357</v>
      </c>
      <c r="D66" s="24" t="s">
        <v>701</v>
      </c>
      <c r="E66" s="3">
        <v>0.015</v>
      </c>
      <c r="F66" s="14">
        <f>IF(D66="ag-01",0.12,IF(D66="ar-03",12.03,IF(D66="ar-04",32.71,IF(D66="md-03",3.3,IF(D66="op-02",4.31,IF(D66="op-01",6.89,IF(D66="ef-01",0.95,IF(D66="al-02",1))))))))</f>
        <v>32.71</v>
      </c>
      <c r="G66" s="25">
        <f t="shared" si="7"/>
        <v>0.49065</v>
      </c>
      <c r="I66" s="95"/>
      <c r="J66" s="5"/>
    </row>
    <row r="67" spans="1:10" s="1" customFormat="1" ht="15.75">
      <c r="A67" s="174" t="s">
        <v>709</v>
      </c>
      <c r="B67" s="24"/>
      <c r="C67" s="2" t="s">
        <v>294</v>
      </c>
      <c r="D67" s="24" t="s">
        <v>866</v>
      </c>
      <c r="E67" s="3">
        <v>0.21</v>
      </c>
      <c r="F67" s="14">
        <f>IF(D67="ag-01",0.12,IF(D67="ar-03",12.03,IF(D67="ar-04",32.71,IF(D67="md-03",3.3,IF(D67="op-02",4.31,IF(D67="op-01",6.89,IF(D67="ef-01",0.95,IF(D67="al-02",1))))))))</f>
        <v>3.3</v>
      </c>
      <c r="G67" s="25">
        <f t="shared" si="7"/>
        <v>0.693</v>
      </c>
      <c r="I67" s="95"/>
      <c r="J67" s="5"/>
    </row>
    <row r="68" spans="1:10" s="1" customFormat="1" ht="15.75">
      <c r="A68" s="174" t="s">
        <v>520</v>
      </c>
      <c r="B68" s="24"/>
      <c r="C68" s="2" t="s">
        <v>287</v>
      </c>
      <c r="D68" s="24" t="s">
        <v>521</v>
      </c>
      <c r="E68" s="3">
        <v>0.18</v>
      </c>
      <c r="F68" s="14">
        <f>IF(D68="ag-01",0.12,IF(D68="ar-03",12.03,IF(D68="ar-04",32.71,IF(D68="md-03",3.3,IF(D68="op-02",4.31,IF(D68="op-01",6.89,IF(D68="ef-01",0.95,IF(D68="al-02",1))))))))</f>
        <v>0.95</v>
      </c>
      <c r="G68" s="25">
        <f t="shared" si="7"/>
        <v>0.17099999999999999</v>
      </c>
      <c r="I68" s="95"/>
      <c r="J68" s="5"/>
    </row>
    <row r="69" spans="1:10" s="1" customFormat="1" ht="15.75">
      <c r="A69" s="174" t="s">
        <v>702</v>
      </c>
      <c r="B69" s="24"/>
      <c r="C69" s="2" t="s">
        <v>287</v>
      </c>
      <c r="D69" s="2" t="s">
        <v>703</v>
      </c>
      <c r="E69" s="3">
        <v>2.11</v>
      </c>
      <c r="F69" s="14">
        <f>IF(D69="ag-01",0.12,IF(D69="ar-03",12.03,IF(D69="ar-04",32.71,IF(D69="ac-04",0.51,IF(D69="op-02",4.31,IF(D69="op-01",6.89,IF(D69="ef-01",0.95,IF(D69="al-02",1))))))))</f>
        <v>0.51</v>
      </c>
      <c r="G69" s="25">
        <f t="shared" si="7"/>
        <v>1.0761</v>
      </c>
      <c r="I69" s="95"/>
      <c r="J69" s="5"/>
    </row>
    <row r="70" spans="1:10" s="1" customFormat="1" ht="15.75">
      <c r="A70" s="174" t="s">
        <v>867</v>
      </c>
      <c r="B70" s="24"/>
      <c r="C70" s="2" t="s">
        <v>287</v>
      </c>
      <c r="D70" s="24" t="s">
        <v>711</v>
      </c>
      <c r="E70" s="3">
        <v>0.02</v>
      </c>
      <c r="F70" s="14">
        <f>IF(D70="ag-01",0.12,IF(D70="ar-03",12.03,IF(D70="ar-04",32.71,IF(D70="ac-04",0.51,IF(D70="op-02",4.31,IF(D70="op-01",6.89,IF(D70="ef-01",0.95,IF(D70="al-02",1))))))))</f>
        <v>1</v>
      </c>
      <c r="G70" s="25">
        <f t="shared" si="7"/>
        <v>0.02</v>
      </c>
      <c r="I70" s="95"/>
      <c r="J70" s="5"/>
    </row>
    <row r="71" spans="1:10" s="1" customFormat="1" ht="15.75">
      <c r="A71" s="174" t="s">
        <v>289</v>
      </c>
      <c r="B71" s="24"/>
      <c r="C71" s="2" t="s">
        <v>228</v>
      </c>
      <c r="D71" s="24" t="s">
        <v>290</v>
      </c>
      <c r="E71" s="3">
        <v>1.17</v>
      </c>
      <c r="F71" s="14">
        <f>+C77</f>
        <v>6.89</v>
      </c>
      <c r="H71" s="25">
        <f>E71*F71</f>
        <v>8.0613</v>
      </c>
      <c r="I71" s="95"/>
      <c r="J71" s="5"/>
    </row>
    <row r="72" spans="1:10" s="1" customFormat="1" ht="15.75">
      <c r="A72" s="174" t="s">
        <v>227</v>
      </c>
      <c r="B72" s="24"/>
      <c r="C72" s="2" t="s">
        <v>228</v>
      </c>
      <c r="D72" s="24" t="s">
        <v>229</v>
      </c>
      <c r="E72" s="3">
        <v>0.65</v>
      </c>
      <c r="F72" s="14">
        <f>+C78</f>
        <v>4.38</v>
      </c>
      <c r="H72" s="25">
        <f>E72*F72</f>
        <v>2.847</v>
      </c>
      <c r="I72" s="95"/>
      <c r="J72" s="5"/>
    </row>
    <row r="73" spans="1:10" ht="16.5" thickBot="1">
      <c r="A73" s="93"/>
      <c r="B73" s="75"/>
      <c r="C73" s="17"/>
      <c r="D73" s="17"/>
      <c r="E73" s="18"/>
      <c r="F73" s="62"/>
      <c r="G73" s="253">
        <f>SUM(G64:G70)</f>
        <v>3.4712</v>
      </c>
      <c r="H73" s="253">
        <f>SUM(H71:H72)</f>
        <v>10.908299999999999</v>
      </c>
      <c r="I73" s="92"/>
      <c r="J73" s="74"/>
    </row>
    <row r="74" spans="1:10" ht="16.5" thickTop="1">
      <c r="A74" s="22"/>
      <c r="B74" s="40"/>
      <c r="C74" s="22"/>
      <c r="D74" s="22"/>
      <c r="E74" s="23"/>
      <c r="F74" s="21"/>
      <c r="G74" s="21"/>
      <c r="H74" s="21"/>
      <c r="I74" s="21"/>
      <c r="J74" s="21"/>
    </row>
    <row r="75" spans="1:10" ht="15.75">
      <c r="A75" s="22"/>
      <c r="B75" s="40"/>
      <c r="C75" s="22"/>
      <c r="D75" s="22"/>
      <c r="E75" s="23"/>
      <c r="F75" s="21"/>
      <c r="G75" s="21"/>
      <c r="H75" s="21"/>
      <c r="I75" s="21"/>
      <c r="J75" s="21"/>
    </row>
    <row r="76" spans="1:10" ht="15.75">
      <c r="A76" s="22"/>
      <c r="B76" s="40"/>
      <c r="C76" s="22"/>
      <c r="D76" s="22"/>
      <c r="E76" s="23"/>
      <c r="F76" s="21"/>
      <c r="G76" s="21"/>
      <c r="H76" s="21"/>
      <c r="I76" s="21"/>
      <c r="J76" s="21"/>
    </row>
    <row r="77" spans="1:10" ht="15.75">
      <c r="A77" s="22"/>
      <c r="B77" s="301" t="s">
        <v>290</v>
      </c>
      <c r="C77" s="40">
        <v>6.89</v>
      </c>
      <c r="D77" s="22"/>
      <c r="E77" s="23"/>
      <c r="F77" s="21"/>
      <c r="G77" s="21"/>
      <c r="H77" s="21"/>
      <c r="I77" s="21"/>
      <c r="J77" s="21"/>
    </row>
    <row r="78" spans="1:10" ht="15.75">
      <c r="A78" s="22"/>
      <c r="B78" s="301" t="s">
        <v>229</v>
      </c>
      <c r="C78" s="40">
        <v>4.38</v>
      </c>
      <c r="D78" s="22"/>
      <c r="E78" s="23"/>
      <c r="F78" s="21"/>
      <c r="G78" s="21"/>
      <c r="H78" s="21"/>
      <c r="I78" s="21"/>
      <c r="J78" s="21"/>
    </row>
    <row r="79" spans="1:10" ht="15.75">
      <c r="A79" s="22"/>
      <c r="B79" s="40"/>
      <c r="C79" s="22"/>
      <c r="D79" s="22"/>
      <c r="E79" s="23"/>
      <c r="F79" s="21"/>
      <c r="G79" s="21"/>
      <c r="H79" s="21"/>
      <c r="I79" s="21"/>
      <c r="J79" s="21"/>
    </row>
    <row r="80" spans="1:10" ht="15.75">
      <c r="A80" s="22"/>
      <c r="B80" s="40"/>
      <c r="C80" s="22"/>
      <c r="D80" s="22"/>
      <c r="E80" s="23"/>
      <c r="F80" s="21"/>
      <c r="G80" s="21"/>
      <c r="H80" s="21"/>
      <c r="I80" s="21"/>
      <c r="J80" s="21"/>
    </row>
    <row r="81" spans="1:10" ht="15.75">
      <c r="A81" s="22"/>
      <c r="B81" s="40"/>
      <c r="C81" s="22"/>
      <c r="D81" s="22"/>
      <c r="E81" s="23"/>
      <c r="F81" s="21"/>
      <c r="G81" s="21"/>
      <c r="H81" s="21"/>
      <c r="I81" s="21"/>
      <c r="J81" s="21"/>
    </row>
    <row r="82" spans="1:10" ht="15.75">
      <c r="A82" s="22"/>
      <c r="B82" s="40"/>
      <c r="C82" s="22"/>
      <c r="D82" s="22"/>
      <c r="E82" s="23"/>
      <c r="F82" s="21"/>
      <c r="G82" s="21"/>
      <c r="H82" s="21"/>
      <c r="I82" s="21"/>
      <c r="J82" s="21"/>
    </row>
    <row r="83" spans="1:10" ht="15.75">
      <c r="A83" s="22"/>
      <c r="B83" s="40"/>
      <c r="C83" s="22"/>
      <c r="D83" s="22"/>
      <c r="E83" s="23"/>
      <c r="F83" s="21"/>
      <c r="G83" s="21"/>
      <c r="H83" s="21"/>
      <c r="I83" s="21"/>
      <c r="J83" s="21"/>
    </row>
    <row r="84" spans="1:10" ht="15.75">
      <c r="A84" s="22"/>
      <c r="B84" s="40"/>
      <c r="C84" s="22"/>
      <c r="D84" s="22"/>
      <c r="E84" s="23"/>
      <c r="F84" s="21"/>
      <c r="G84" s="21"/>
      <c r="H84" s="21"/>
      <c r="I84" s="21"/>
      <c r="J84" s="21"/>
    </row>
    <row r="85" spans="1:10" ht="15.75">
      <c r="A85" s="22"/>
      <c r="B85" s="40"/>
      <c r="C85" s="22"/>
      <c r="D85" s="22"/>
      <c r="E85" s="23"/>
      <c r="F85" s="21"/>
      <c r="G85" s="21"/>
      <c r="H85" s="21"/>
      <c r="I85" s="21"/>
      <c r="J85" s="21"/>
    </row>
    <row r="86" spans="1:10" ht="15.75">
      <c r="A86" s="22"/>
      <c r="B86" s="40"/>
      <c r="C86" s="22"/>
      <c r="D86" s="22"/>
      <c r="E86" s="23"/>
      <c r="F86" s="21"/>
      <c r="G86" s="21"/>
      <c r="H86" s="21"/>
      <c r="I86" s="21"/>
      <c r="J86" s="21"/>
    </row>
    <row r="87" spans="1:10" ht="15.75">
      <c r="A87" s="22"/>
      <c r="B87" s="40"/>
      <c r="C87" s="22"/>
      <c r="D87" s="22"/>
      <c r="E87" s="23"/>
      <c r="F87" s="21"/>
      <c r="G87" s="21"/>
      <c r="H87" s="21"/>
      <c r="I87" s="21"/>
      <c r="J87" s="21"/>
    </row>
    <row r="88" spans="1:10" ht="15.75">
      <c r="A88" s="22"/>
      <c r="B88" s="40"/>
      <c r="C88" s="22"/>
      <c r="D88" s="22"/>
      <c r="E88" s="23"/>
      <c r="F88" s="21"/>
      <c r="G88" s="21"/>
      <c r="H88" s="21"/>
      <c r="I88" s="21"/>
      <c r="J88" s="21"/>
    </row>
    <row r="89" spans="1:10" ht="15.75">
      <c r="A89" s="22"/>
      <c r="B89" s="40"/>
      <c r="C89" s="22"/>
      <c r="D89" s="22"/>
      <c r="E89" s="23"/>
      <c r="F89" s="21"/>
      <c r="G89" s="21"/>
      <c r="H89" s="21"/>
      <c r="I89" s="21"/>
      <c r="J89" s="21"/>
    </row>
    <row r="90" spans="1:10" ht="15.75">
      <c r="A90" s="22"/>
      <c r="B90" s="40"/>
      <c r="C90" s="22"/>
      <c r="D90" s="22"/>
      <c r="E90" s="23"/>
      <c r="F90" s="21"/>
      <c r="G90" s="21"/>
      <c r="H90" s="21"/>
      <c r="I90" s="21"/>
      <c r="J90" s="21"/>
    </row>
    <row r="91" spans="1:10" ht="15.75">
      <c r="A91" s="22"/>
      <c r="B91" s="40"/>
      <c r="C91" s="22"/>
      <c r="D91" s="22"/>
      <c r="E91" s="23"/>
      <c r="F91" s="21"/>
      <c r="G91" s="21"/>
      <c r="H91" s="21"/>
      <c r="I91" s="21"/>
      <c r="J91" s="21"/>
    </row>
    <row r="92" spans="1:10" ht="15.75">
      <c r="A92" s="22"/>
      <c r="B92" s="40"/>
      <c r="C92" s="22"/>
      <c r="D92" s="22"/>
      <c r="E92" s="23"/>
      <c r="F92" s="21"/>
      <c r="G92" s="21"/>
      <c r="H92" s="21"/>
      <c r="I92" s="21"/>
      <c r="J92" s="21"/>
    </row>
    <row r="93" spans="1:10" ht="15.75">
      <c r="A93" s="22"/>
      <c r="B93" s="40"/>
      <c r="C93" s="22"/>
      <c r="D93" s="22"/>
      <c r="E93" s="23"/>
      <c r="F93" s="21"/>
      <c r="G93" s="21"/>
      <c r="H93" s="21"/>
      <c r="I93" s="21"/>
      <c r="J93" s="21"/>
    </row>
    <row r="94" spans="1:10" ht="15.75">
      <c r="A94" s="22"/>
      <c r="B94" s="40"/>
      <c r="C94" s="22"/>
      <c r="D94" s="22"/>
      <c r="E94" s="23"/>
      <c r="F94" s="21"/>
      <c r="G94" s="21"/>
      <c r="H94" s="21"/>
      <c r="I94" s="21"/>
      <c r="J94" s="21"/>
    </row>
    <row r="95" spans="1:10" ht="15.75">
      <c r="A95" s="22"/>
      <c r="B95" s="40"/>
      <c r="C95" s="22"/>
      <c r="D95" s="22"/>
      <c r="E95" s="23"/>
      <c r="F95" s="21"/>
      <c r="G95" s="21"/>
      <c r="H95" s="21"/>
      <c r="I95" s="21"/>
      <c r="J95" s="21"/>
    </row>
    <row r="96" spans="1:10" ht="15.75">
      <c r="A96" s="22"/>
      <c r="B96" s="40"/>
      <c r="C96" s="22"/>
      <c r="D96" s="22"/>
      <c r="E96" s="23"/>
      <c r="F96" s="21"/>
      <c r="G96" s="21"/>
      <c r="H96" s="21"/>
      <c r="I96" s="21"/>
      <c r="J96" s="21"/>
    </row>
    <row r="97" spans="1:10" ht="15.75">
      <c r="A97" s="22"/>
      <c r="B97" s="40"/>
      <c r="C97" s="22"/>
      <c r="D97" s="22"/>
      <c r="E97" s="23"/>
      <c r="F97" s="21"/>
      <c r="G97" s="21"/>
      <c r="H97" s="21"/>
      <c r="I97" s="21"/>
      <c r="J97" s="21"/>
    </row>
    <row r="98" spans="1:10" ht="15.75">
      <c r="A98" s="22"/>
      <c r="B98" s="40"/>
      <c r="C98" s="22"/>
      <c r="D98" s="22"/>
      <c r="E98" s="23"/>
      <c r="F98" s="21"/>
      <c r="G98" s="21"/>
      <c r="H98" s="21"/>
      <c r="I98" s="21"/>
      <c r="J98" s="21"/>
    </row>
    <row r="99" spans="1:10" ht="15.75">
      <c r="A99" s="22"/>
      <c r="B99" s="40"/>
      <c r="C99" s="22"/>
      <c r="D99" s="22"/>
      <c r="E99" s="23"/>
      <c r="F99" s="21"/>
      <c r="G99" s="21"/>
      <c r="H99" s="21"/>
      <c r="I99" s="21"/>
      <c r="J99" s="21"/>
    </row>
    <row r="100" spans="1:10" ht="15.75">
      <c r="A100" s="22"/>
      <c r="B100" s="40"/>
      <c r="C100" s="22"/>
      <c r="D100" s="22"/>
      <c r="E100" s="23"/>
      <c r="F100" s="21"/>
      <c r="G100" s="21"/>
      <c r="H100" s="21"/>
      <c r="I100" s="21"/>
      <c r="J100" s="21"/>
    </row>
    <row r="101" spans="1:10" ht="15.75">
      <c r="A101" s="22"/>
      <c r="B101" s="40"/>
      <c r="C101" s="22"/>
      <c r="D101" s="22"/>
      <c r="E101" s="23"/>
      <c r="F101" s="21"/>
      <c r="G101" s="21"/>
      <c r="H101" s="21"/>
      <c r="I101" s="21"/>
      <c r="J101" s="21"/>
    </row>
    <row r="102" spans="1:10" ht="15.75">
      <c r="A102" s="22"/>
      <c r="B102" s="40"/>
      <c r="C102" s="22"/>
      <c r="D102" s="22"/>
      <c r="E102" s="23"/>
      <c r="F102" s="21"/>
      <c r="G102" s="21"/>
      <c r="H102" s="21"/>
      <c r="I102" s="21"/>
      <c r="J102" s="21"/>
    </row>
    <row r="103" spans="1:10" ht="15.75">
      <c r="A103" s="22"/>
      <c r="B103" s="40"/>
      <c r="C103" s="22"/>
      <c r="D103" s="22"/>
      <c r="E103" s="23"/>
      <c r="F103" s="21"/>
      <c r="G103" s="21"/>
      <c r="H103" s="21"/>
      <c r="I103" s="21"/>
      <c r="J103" s="21"/>
    </row>
    <row r="104" spans="1:10" ht="15.75">
      <c r="A104" s="22"/>
      <c r="B104" s="40"/>
      <c r="C104" s="22"/>
      <c r="D104" s="22"/>
      <c r="E104" s="23"/>
      <c r="F104" s="21"/>
      <c r="G104" s="21"/>
      <c r="H104" s="21"/>
      <c r="I104" s="21"/>
      <c r="J104" s="21"/>
    </row>
    <row r="105" spans="1:10" ht="15.75">
      <c r="A105" s="22"/>
      <c r="B105" s="40"/>
      <c r="C105" s="22"/>
      <c r="D105" s="22"/>
      <c r="E105" s="23"/>
      <c r="F105" s="21"/>
      <c r="G105" s="21"/>
      <c r="H105" s="21"/>
      <c r="I105" s="21"/>
      <c r="J105" s="21"/>
    </row>
    <row r="106" spans="1:10" ht="15.75">
      <c r="A106" s="22"/>
      <c r="B106" s="40"/>
      <c r="C106" s="22"/>
      <c r="D106" s="22"/>
      <c r="E106" s="23"/>
      <c r="F106" s="21"/>
      <c r="G106" s="21"/>
      <c r="H106" s="21"/>
      <c r="I106" s="21"/>
      <c r="J106" s="21"/>
    </row>
    <row r="107" spans="1:10" ht="15.75">
      <c r="A107" s="22"/>
      <c r="B107" s="40"/>
      <c r="C107" s="22"/>
      <c r="D107" s="22"/>
      <c r="E107" s="23"/>
      <c r="F107" s="21"/>
      <c r="G107" s="21"/>
      <c r="H107" s="21"/>
      <c r="I107" s="21"/>
      <c r="J107" s="21"/>
    </row>
    <row r="108" spans="1:10" ht="15.75">
      <c r="A108" s="22"/>
      <c r="B108" s="40"/>
      <c r="C108" s="22"/>
      <c r="D108" s="22"/>
      <c r="E108" s="23"/>
      <c r="F108" s="21"/>
      <c r="G108" s="21"/>
      <c r="H108" s="21"/>
      <c r="I108" s="21"/>
      <c r="J108" s="21"/>
    </row>
    <row r="109" spans="1:10" ht="15.75">
      <c r="A109" s="22"/>
      <c r="B109" s="40"/>
      <c r="C109" s="22"/>
      <c r="D109" s="22"/>
      <c r="E109" s="23"/>
      <c r="F109" s="21"/>
      <c r="G109" s="21"/>
      <c r="H109" s="21"/>
      <c r="I109" s="21"/>
      <c r="J109" s="21"/>
    </row>
    <row r="110" spans="1:10" ht="15.75">
      <c r="A110" s="22"/>
      <c r="B110" s="40"/>
      <c r="C110" s="22"/>
      <c r="D110" s="22"/>
      <c r="E110" s="23"/>
      <c r="F110" s="21"/>
      <c r="G110" s="21"/>
      <c r="H110" s="21"/>
      <c r="I110" s="21"/>
      <c r="J110" s="21"/>
    </row>
    <row r="111" spans="1:10" ht="15.75">
      <c r="A111" s="22"/>
      <c r="B111" s="40"/>
      <c r="C111" s="22"/>
      <c r="D111" s="22"/>
      <c r="E111" s="23"/>
      <c r="F111" s="21"/>
      <c r="G111" s="21"/>
      <c r="H111" s="21"/>
      <c r="I111" s="21"/>
      <c r="J111" s="21"/>
    </row>
    <row r="112" spans="1:10" ht="15.75">
      <c r="A112" s="22"/>
      <c r="B112" s="40"/>
      <c r="C112" s="22"/>
      <c r="D112" s="22"/>
      <c r="E112" s="23"/>
      <c r="F112" s="21"/>
      <c r="G112" s="21"/>
      <c r="H112" s="21"/>
      <c r="I112" s="21"/>
      <c r="J112" s="21"/>
    </row>
    <row r="113" spans="1:10" ht="15.75">
      <c r="A113" s="22"/>
      <c r="B113" s="40"/>
      <c r="C113" s="22"/>
      <c r="D113" s="22"/>
      <c r="E113" s="23"/>
      <c r="F113" s="21"/>
      <c r="G113" s="21"/>
      <c r="H113" s="21"/>
      <c r="I113" s="21"/>
      <c r="J113" s="21"/>
    </row>
    <row r="114" spans="1:10" ht="15.75">
      <c r="A114" s="22"/>
      <c r="B114" s="40"/>
      <c r="C114" s="22"/>
      <c r="D114" s="22"/>
      <c r="E114" s="23"/>
      <c r="F114" s="21"/>
      <c r="G114" s="21"/>
      <c r="H114" s="21"/>
      <c r="I114" s="21"/>
      <c r="J114" s="21"/>
    </row>
    <row r="115" spans="1:10" ht="15.75">
      <c r="A115" s="22"/>
      <c r="B115" s="40"/>
      <c r="C115" s="22"/>
      <c r="D115" s="22"/>
      <c r="E115" s="23"/>
      <c r="F115" s="21"/>
      <c r="G115" s="21"/>
      <c r="H115" s="21"/>
      <c r="I115" s="21"/>
      <c r="J115" s="21"/>
    </row>
    <row r="116" spans="1:10" ht="15.75">
      <c r="A116" s="22"/>
      <c r="B116" s="40"/>
      <c r="C116" s="22"/>
      <c r="D116" s="22"/>
      <c r="E116" s="23"/>
      <c r="F116" s="21"/>
      <c r="G116" s="21"/>
      <c r="H116" s="21"/>
      <c r="I116" s="21"/>
      <c r="J116" s="21"/>
    </row>
    <row r="117" spans="1:10" ht="15.75">
      <c r="A117" s="22"/>
      <c r="B117" s="40"/>
      <c r="C117" s="22"/>
      <c r="D117" s="22"/>
      <c r="E117" s="23"/>
      <c r="F117" s="21"/>
      <c r="G117" s="21"/>
      <c r="H117" s="21"/>
      <c r="I117" s="21"/>
      <c r="J117" s="21"/>
    </row>
    <row r="118" spans="1:10" ht="15.75">
      <c r="A118" s="22"/>
      <c r="B118" s="40"/>
      <c r="C118" s="22"/>
      <c r="D118" s="22"/>
      <c r="E118" s="23"/>
      <c r="F118" s="21"/>
      <c r="G118" s="21"/>
      <c r="H118" s="21"/>
      <c r="I118" s="21"/>
      <c r="J118" s="21"/>
    </row>
    <row r="119" spans="1:10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</sheetData>
  <printOptions horizontalCentered="1" verticalCentered="1"/>
  <pageMargins left="0.037401" right="0.037401575" top="1" bottom="1" header="0" footer="0"/>
  <pageSetup horizontalDpi="200" verticalDpi="200" orientation="landscape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57" sqref="C57"/>
    </sheetView>
  </sheetViews>
  <sheetFormatPr defaultColWidth="11.421875" defaultRowHeight="12.75"/>
  <cols>
    <col min="1" max="1" width="54.421875" style="0" customWidth="1"/>
    <col min="2" max="2" width="5.28125" style="0" customWidth="1"/>
    <col min="3" max="4" width="8.28125" style="0" customWidth="1"/>
    <col min="5" max="5" width="10.57421875" style="0" customWidth="1"/>
    <col min="6" max="6" width="9.28125" style="0" customWidth="1"/>
    <col min="7" max="7" width="10.421875" style="0" customWidth="1"/>
    <col min="8" max="8" width="9.7109375" style="0" customWidth="1"/>
    <col min="9" max="9" width="10.8515625" style="0" customWidth="1"/>
    <col min="10" max="10" width="91.00390625" style="0" customWidth="1"/>
  </cols>
  <sheetData>
    <row r="1" spans="1:12" ht="17.25" thickBot="1" thickTop="1">
      <c r="A1" s="275" t="s">
        <v>877</v>
      </c>
      <c r="B1" s="276"/>
      <c r="C1" s="276"/>
      <c r="D1" s="276"/>
      <c r="E1" s="276"/>
      <c r="F1" s="276"/>
      <c r="G1" s="276"/>
      <c r="H1" s="276"/>
      <c r="I1" s="276"/>
      <c r="J1" s="277"/>
      <c r="L1" s="197"/>
    </row>
    <row r="2" spans="1:12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  <c r="L2" s="198"/>
    </row>
    <row r="3" spans="1:12" s="21" customFormat="1" ht="16.5" thickTop="1">
      <c r="A3" s="188">
        <v>11.1</v>
      </c>
      <c r="B3" s="124"/>
      <c r="C3" s="124"/>
      <c r="D3" s="141"/>
      <c r="E3" s="141"/>
      <c r="F3" s="141"/>
      <c r="G3" s="124"/>
      <c r="H3" s="141"/>
      <c r="I3" s="124"/>
      <c r="J3" s="169"/>
      <c r="L3" s="199"/>
    </row>
    <row r="4" spans="1:12" s="1" customFormat="1" ht="15.75">
      <c r="A4" s="173" t="s">
        <v>878</v>
      </c>
      <c r="B4" s="125"/>
      <c r="C4" s="125"/>
      <c r="D4" s="126"/>
      <c r="E4" s="126"/>
      <c r="F4" s="126"/>
      <c r="G4" s="125"/>
      <c r="H4" s="126"/>
      <c r="I4" s="125"/>
      <c r="J4" s="152"/>
      <c r="L4" s="200"/>
    </row>
    <row r="5" spans="1:12" s="1" customFormat="1" ht="15.75">
      <c r="A5" s="173" t="s">
        <v>879</v>
      </c>
      <c r="B5" s="125"/>
      <c r="C5" s="125"/>
      <c r="D5" s="126"/>
      <c r="E5" s="126"/>
      <c r="F5" s="126"/>
      <c r="G5" s="125"/>
      <c r="H5" s="126"/>
      <c r="I5" s="125"/>
      <c r="J5" s="152"/>
      <c r="L5" s="200"/>
    </row>
    <row r="6" spans="1:12" s="1" customFormat="1" ht="15.75">
      <c r="A6" s="172" t="s">
        <v>880</v>
      </c>
      <c r="B6" s="52"/>
      <c r="C6" s="52" t="s">
        <v>574</v>
      </c>
      <c r="D6" s="183" t="s">
        <v>881</v>
      </c>
      <c r="E6" s="184">
        <v>6</v>
      </c>
      <c r="F6" s="14">
        <f>IF(D6="md-05",0.2,IF(D6="op-01",6.89,IF(D6="op-02",4.31)))</f>
        <v>0.2</v>
      </c>
      <c r="G6" s="25">
        <f>E6*F6</f>
        <v>1.2000000000000002</v>
      </c>
      <c r="H6" s="185"/>
      <c r="I6" s="95">
        <f>SUM(G6,H7:H8)</f>
        <v>5.739999999999999</v>
      </c>
      <c r="J6" s="193"/>
      <c r="L6" s="200"/>
    </row>
    <row r="7" spans="1:12" s="1" customFormat="1" ht="15.75">
      <c r="A7" s="174" t="s">
        <v>289</v>
      </c>
      <c r="B7" s="24"/>
      <c r="C7" s="24" t="s">
        <v>228</v>
      </c>
      <c r="D7" s="24" t="s">
        <v>290</v>
      </c>
      <c r="E7" s="3">
        <v>0.5</v>
      </c>
      <c r="F7" s="14">
        <f>+C55</f>
        <v>6.89</v>
      </c>
      <c r="H7" s="25">
        <f>E7*F7</f>
        <v>3.445</v>
      </c>
      <c r="I7" s="95"/>
      <c r="J7" s="5"/>
      <c r="L7" s="200"/>
    </row>
    <row r="8" spans="1:12" s="1" customFormat="1" ht="15.75">
      <c r="A8" s="174" t="s">
        <v>227</v>
      </c>
      <c r="B8" s="24"/>
      <c r="C8" s="24" t="s">
        <v>228</v>
      </c>
      <c r="D8" s="24" t="s">
        <v>229</v>
      </c>
      <c r="E8" s="3">
        <v>0.25</v>
      </c>
      <c r="F8" s="14">
        <f>+C56</f>
        <v>4.38</v>
      </c>
      <c r="H8" s="25">
        <f>E8*F8</f>
        <v>1.095</v>
      </c>
      <c r="I8" s="95"/>
      <c r="J8" s="5"/>
      <c r="L8" s="200"/>
    </row>
    <row r="9" spans="1:12" ht="16.5" thickBot="1">
      <c r="A9" s="90"/>
      <c r="B9" s="72"/>
      <c r="C9" s="28"/>
      <c r="D9" s="28"/>
      <c r="E9" s="8"/>
      <c r="F9" s="73"/>
      <c r="G9" s="67">
        <f>E6*F6</f>
        <v>1.2000000000000002</v>
      </c>
      <c r="H9" s="252">
        <f>SUM(H7:H8)</f>
        <v>4.54</v>
      </c>
      <c r="I9" s="88"/>
      <c r="J9" s="11"/>
      <c r="L9" s="199"/>
    </row>
    <row r="10" spans="1:12" ht="16.5" thickTop="1">
      <c r="A10" s="178">
        <v>11.2</v>
      </c>
      <c r="B10" s="113"/>
      <c r="C10" s="69"/>
      <c r="D10" s="69"/>
      <c r="E10" s="70"/>
      <c r="F10" s="139"/>
      <c r="G10" s="115"/>
      <c r="H10" s="115"/>
      <c r="I10" s="89"/>
      <c r="J10" s="71"/>
      <c r="L10" s="199"/>
    </row>
    <row r="11" spans="1:12" s="1" customFormat="1" ht="15.75">
      <c r="A11" s="173" t="s">
        <v>882</v>
      </c>
      <c r="B11" s="24"/>
      <c r="C11" s="24"/>
      <c r="D11" s="24"/>
      <c r="E11" s="3"/>
      <c r="F11" s="14"/>
      <c r="G11" s="85"/>
      <c r="H11" s="85"/>
      <c r="I11" s="95"/>
      <c r="J11" s="5"/>
      <c r="L11" s="200"/>
    </row>
    <row r="12" spans="1:12" s="1" customFormat="1" ht="15.75">
      <c r="A12" s="173" t="s">
        <v>883</v>
      </c>
      <c r="B12" s="24"/>
      <c r="C12" s="24"/>
      <c r="D12" s="24"/>
      <c r="E12" s="3"/>
      <c r="F12" s="14"/>
      <c r="G12" s="85"/>
      <c r="H12" s="85"/>
      <c r="I12" s="95"/>
      <c r="J12" s="5"/>
      <c r="L12" s="200"/>
    </row>
    <row r="13" spans="1:12" s="1" customFormat="1" ht="15.75">
      <c r="A13" s="172" t="s">
        <v>884</v>
      </c>
      <c r="B13" s="52"/>
      <c r="C13" s="52" t="s">
        <v>228</v>
      </c>
      <c r="D13" s="24" t="s">
        <v>290</v>
      </c>
      <c r="E13" s="184">
        <v>1</v>
      </c>
      <c r="F13" s="14">
        <f>+C55</f>
        <v>6.89</v>
      </c>
      <c r="G13" s="185"/>
      <c r="H13" s="25">
        <f>E13*F13</f>
        <v>6.89</v>
      </c>
      <c r="I13" s="95">
        <f>SUM(H13:H14)</f>
        <v>9.08</v>
      </c>
      <c r="J13" s="193"/>
      <c r="L13" s="200"/>
    </row>
    <row r="14" spans="1:12" s="1" customFormat="1" ht="15.75">
      <c r="A14" s="174" t="s">
        <v>227</v>
      </c>
      <c r="B14" s="24"/>
      <c r="C14" s="24" t="s">
        <v>228</v>
      </c>
      <c r="D14" s="24" t="s">
        <v>229</v>
      </c>
      <c r="E14" s="3">
        <v>0.5</v>
      </c>
      <c r="F14" s="14">
        <f>+C56</f>
        <v>4.38</v>
      </c>
      <c r="H14" s="25">
        <f>E14*F14</f>
        <v>2.19</v>
      </c>
      <c r="I14" s="95"/>
      <c r="J14" s="5"/>
      <c r="L14" s="200"/>
    </row>
    <row r="15" spans="1:12" ht="16.5" thickBot="1">
      <c r="A15" s="90"/>
      <c r="B15" s="28"/>
      <c r="C15" s="28"/>
      <c r="D15" s="28"/>
      <c r="E15" s="8"/>
      <c r="F15" s="10"/>
      <c r="G15" s="67">
        <v>0</v>
      </c>
      <c r="H15" s="252">
        <f>SUM(H13:H14)</f>
        <v>9.08</v>
      </c>
      <c r="I15" s="88"/>
      <c r="J15" s="11"/>
      <c r="L15" s="199"/>
    </row>
    <row r="16" spans="1:12" ht="16.5" thickTop="1">
      <c r="A16" s="168">
        <v>11.3</v>
      </c>
      <c r="B16" s="69"/>
      <c r="C16" s="69"/>
      <c r="D16" s="69"/>
      <c r="E16" s="70"/>
      <c r="F16" s="84"/>
      <c r="G16" s="115"/>
      <c r="H16" s="115"/>
      <c r="I16" s="89"/>
      <c r="J16" s="71"/>
      <c r="L16" s="199"/>
    </row>
    <row r="17" spans="1:12" s="1" customFormat="1" ht="15.75">
      <c r="A17" s="173" t="s">
        <v>885</v>
      </c>
      <c r="B17" s="24"/>
      <c r="C17" s="24"/>
      <c r="D17" s="24"/>
      <c r="E17" s="3"/>
      <c r="F17" s="14"/>
      <c r="G17" s="85"/>
      <c r="H17" s="85"/>
      <c r="I17" s="95"/>
      <c r="J17" s="5"/>
      <c r="L17" s="200"/>
    </row>
    <row r="18" spans="1:12" s="1" customFormat="1" ht="15.75">
      <c r="A18" s="173" t="s">
        <v>886</v>
      </c>
      <c r="B18" s="24"/>
      <c r="C18" s="24"/>
      <c r="D18" s="24"/>
      <c r="E18" s="3"/>
      <c r="F18" s="14"/>
      <c r="G18" s="85"/>
      <c r="H18" s="85"/>
      <c r="I18" s="95"/>
      <c r="J18" s="5"/>
      <c r="L18" s="200"/>
    </row>
    <row r="19" spans="1:12" s="1" customFormat="1" ht="15.75">
      <c r="A19" s="172" t="s">
        <v>887</v>
      </c>
      <c r="B19" s="24"/>
      <c r="C19" s="24" t="s">
        <v>228</v>
      </c>
      <c r="D19" s="24" t="s">
        <v>290</v>
      </c>
      <c r="E19" s="186">
        <v>0.9</v>
      </c>
      <c r="F19" s="14">
        <f>+C55</f>
        <v>6.89</v>
      </c>
      <c r="G19" s="187"/>
      <c r="H19" s="25">
        <f>E19*F19</f>
        <v>6.201</v>
      </c>
      <c r="I19" s="95">
        <f>SUM(H19:H20)</f>
        <v>8.172</v>
      </c>
      <c r="J19" s="194"/>
      <c r="L19" s="200"/>
    </row>
    <row r="20" spans="1:12" s="1" customFormat="1" ht="15.75">
      <c r="A20" s="174" t="s">
        <v>227</v>
      </c>
      <c r="B20" s="24"/>
      <c r="C20" s="24" t="s">
        <v>228</v>
      </c>
      <c r="D20" s="24" t="s">
        <v>229</v>
      </c>
      <c r="E20" s="3">
        <v>0.45</v>
      </c>
      <c r="F20" s="14">
        <f>+C56</f>
        <v>4.38</v>
      </c>
      <c r="H20" s="25">
        <f>E20*F20</f>
        <v>1.971</v>
      </c>
      <c r="I20" s="95"/>
      <c r="J20" s="5"/>
      <c r="L20" s="200"/>
    </row>
    <row r="21" spans="1:12" ht="16.5" thickBot="1">
      <c r="A21" s="90"/>
      <c r="B21" s="28"/>
      <c r="C21" s="28"/>
      <c r="D21" s="28"/>
      <c r="E21" s="8"/>
      <c r="F21" s="10"/>
      <c r="G21" s="67">
        <v>0</v>
      </c>
      <c r="H21" s="252">
        <f>SUM(H19:H20)</f>
        <v>8.172</v>
      </c>
      <c r="I21" s="88"/>
      <c r="J21" s="11"/>
      <c r="L21" s="199"/>
    </row>
    <row r="22" spans="1:12" ht="16.5" thickTop="1">
      <c r="A22" s="168">
        <v>11.4</v>
      </c>
      <c r="B22" s="69"/>
      <c r="C22" s="69"/>
      <c r="D22" s="69"/>
      <c r="E22" s="70"/>
      <c r="F22" s="84"/>
      <c r="G22" s="115"/>
      <c r="H22" s="115"/>
      <c r="I22" s="89"/>
      <c r="J22" s="71"/>
      <c r="L22" s="199"/>
    </row>
    <row r="23" spans="1:12" s="1" customFormat="1" ht="15.75">
      <c r="A23" s="173" t="s">
        <v>888</v>
      </c>
      <c r="B23" s="24"/>
      <c r="C23" s="24"/>
      <c r="D23" s="24"/>
      <c r="E23" s="3"/>
      <c r="F23" s="14"/>
      <c r="G23" s="85"/>
      <c r="H23" s="85"/>
      <c r="I23" s="95"/>
      <c r="J23" s="5"/>
      <c r="L23" s="200"/>
    </row>
    <row r="24" spans="1:12" s="1" customFormat="1" ht="15.75">
      <c r="A24" s="173" t="s">
        <v>889</v>
      </c>
      <c r="B24" s="24"/>
      <c r="C24" s="24"/>
      <c r="D24" s="24"/>
      <c r="E24" s="3"/>
      <c r="F24" s="14"/>
      <c r="G24" s="85"/>
      <c r="H24" s="85"/>
      <c r="I24" s="95"/>
      <c r="J24" s="5"/>
      <c r="L24" s="200"/>
    </row>
    <row r="25" spans="1:12" s="1" customFormat="1" ht="15.75">
      <c r="A25" s="173" t="s">
        <v>890</v>
      </c>
      <c r="B25" s="24"/>
      <c r="C25" s="24" t="s">
        <v>228</v>
      </c>
      <c r="D25" s="24" t="s">
        <v>290</v>
      </c>
      <c r="E25" s="3">
        <v>2.5</v>
      </c>
      <c r="F25" s="14">
        <f>+C55</f>
        <v>6.89</v>
      </c>
      <c r="H25" s="25">
        <f>E25*F25</f>
        <v>17.224999999999998</v>
      </c>
      <c r="I25" s="95">
        <f>SUM(H25:H26)</f>
        <v>28.174999999999997</v>
      </c>
      <c r="J25" s="5"/>
      <c r="L25" s="200"/>
    </row>
    <row r="26" spans="1:12" s="1" customFormat="1" ht="15.75">
      <c r="A26" s="189" t="s">
        <v>227</v>
      </c>
      <c r="B26" s="24"/>
      <c r="C26" s="24" t="s">
        <v>228</v>
      </c>
      <c r="D26" s="24" t="s">
        <v>229</v>
      </c>
      <c r="E26" s="3">
        <v>2.5</v>
      </c>
      <c r="F26" s="14">
        <f>+C56</f>
        <v>4.38</v>
      </c>
      <c r="H26" s="25">
        <f>E26*F26</f>
        <v>10.95</v>
      </c>
      <c r="I26" s="95"/>
      <c r="J26" s="5"/>
      <c r="L26" s="200"/>
    </row>
    <row r="27" spans="1:12" ht="16.5" thickBot="1">
      <c r="A27" s="90"/>
      <c r="B27" s="28"/>
      <c r="C27" s="28"/>
      <c r="D27" s="28"/>
      <c r="E27" s="8"/>
      <c r="F27" s="10"/>
      <c r="G27" s="67">
        <v>0</v>
      </c>
      <c r="H27" s="257">
        <f>SUM(H25:H26)</f>
        <v>28.174999999999997</v>
      </c>
      <c r="I27" s="88"/>
      <c r="J27" s="11"/>
      <c r="L27" s="199"/>
    </row>
    <row r="28" spans="1:12" ht="16.5" thickTop="1">
      <c r="A28" s="168">
        <v>11.5</v>
      </c>
      <c r="B28" s="69"/>
      <c r="C28" s="69"/>
      <c r="D28" s="69"/>
      <c r="E28" s="70"/>
      <c r="F28" s="84"/>
      <c r="G28" s="115"/>
      <c r="H28" s="115"/>
      <c r="I28" s="89"/>
      <c r="J28" s="71"/>
      <c r="L28" s="199"/>
    </row>
    <row r="29" spans="1:12" s="1" customFormat="1" ht="15.75">
      <c r="A29" s="173" t="s">
        <v>891</v>
      </c>
      <c r="B29" s="24"/>
      <c r="C29" s="24"/>
      <c r="D29" s="24"/>
      <c r="E29" s="3"/>
      <c r="F29" s="14"/>
      <c r="G29" s="85"/>
      <c r="H29" s="85"/>
      <c r="I29" s="95"/>
      <c r="J29" s="5"/>
      <c r="L29" s="200"/>
    </row>
    <row r="30" spans="1:12" s="1" customFormat="1" ht="15.75">
      <c r="A30" s="173" t="s">
        <v>892</v>
      </c>
      <c r="B30" s="24"/>
      <c r="C30" s="24"/>
      <c r="D30" s="24"/>
      <c r="E30" s="3"/>
      <c r="F30" s="14"/>
      <c r="G30" s="85"/>
      <c r="H30" s="85"/>
      <c r="I30" s="95"/>
      <c r="J30" s="5"/>
      <c r="L30" s="200"/>
    </row>
    <row r="31" spans="1:12" s="1" customFormat="1" ht="15.75">
      <c r="A31" s="173" t="s">
        <v>893</v>
      </c>
      <c r="B31" s="24"/>
      <c r="C31" s="24"/>
      <c r="D31" s="24"/>
      <c r="E31" s="3"/>
      <c r="F31" s="14"/>
      <c r="G31" s="85"/>
      <c r="H31" s="85"/>
      <c r="I31" s="95"/>
      <c r="J31" s="5"/>
      <c r="L31" s="200"/>
    </row>
    <row r="32" spans="1:12" s="1" customFormat="1" ht="15.75">
      <c r="A32" s="174" t="s">
        <v>289</v>
      </c>
      <c r="B32" s="24"/>
      <c r="C32" s="24" t="s">
        <v>228</v>
      </c>
      <c r="D32" s="24" t="s">
        <v>290</v>
      </c>
      <c r="E32" s="3">
        <v>4</v>
      </c>
      <c r="F32" s="14">
        <f>+C55</f>
        <v>6.89</v>
      </c>
      <c r="H32" s="25">
        <f>E32*F32</f>
        <v>27.56</v>
      </c>
      <c r="I32" s="95">
        <f>SUM(H32:H33)</f>
        <v>45.08</v>
      </c>
      <c r="J32" s="5"/>
      <c r="L32" s="200"/>
    </row>
    <row r="33" spans="1:12" s="1" customFormat="1" ht="15.75">
      <c r="A33" s="174" t="s">
        <v>227</v>
      </c>
      <c r="B33" s="24"/>
      <c r="C33" s="24" t="s">
        <v>228</v>
      </c>
      <c r="D33" s="24" t="s">
        <v>229</v>
      </c>
      <c r="E33" s="3">
        <v>4</v>
      </c>
      <c r="F33" s="14">
        <f>+C56</f>
        <v>4.38</v>
      </c>
      <c r="H33" s="25">
        <f>E33*F33</f>
        <v>17.52</v>
      </c>
      <c r="I33" s="95"/>
      <c r="J33" s="5"/>
      <c r="L33" s="200"/>
    </row>
    <row r="34" spans="1:12" ht="16.5" thickBot="1">
      <c r="A34" s="90"/>
      <c r="B34" s="28"/>
      <c r="C34" s="28"/>
      <c r="D34" s="28"/>
      <c r="E34" s="8"/>
      <c r="F34" s="10"/>
      <c r="G34" s="67">
        <v>0</v>
      </c>
      <c r="H34" s="67">
        <f>SUM(H32:H33)</f>
        <v>45.08</v>
      </c>
      <c r="I34" s="88"/>
      <c r="J34" s="11"/>
      <c r="L34" s="199"/>
    </row>
    <row r="35" spans="1:12" ht="16.5" thickTop="1">
      <c r="A35" s="168">
        <v>11.6</v>
      </c>
      <c r="B35" s="69"/>
      <c r="C35" s="69"/>
      <c r="D35" s="69"/>
      <c r="E35" s="70"/>
      <c r="F35" s="84"/>
      <c r="G35" s="115"/>
      <c r="H35" s="115"/>
      <c r="I35" s="89"/>
      <c r="J35" s="71"/>
      <c r="L35" s="199"/>
    </row>
    <row r="36" spans="1:12" s="1" customFormat="1" ht="15.75">
      <c r="A36" s="173" t="s">
        <v>894</v>
      </c>
      <c r="B36" s="24"/>
      <c r="C36" s="24"/>
      <c r="D36" s="24"/>
      <c r="E36" s="3"/>
      <c r="F36" s="14"/>
      <c r="G36" s="85"/>
      <c r="H36" s="85"/>
      <c r="I36" s="95"/>
      <c r="J36" s="5"/>
      <c r="L36" s="200"/>
    </row>
    <row r="37" spans="1:12" s="1" customFormat="1" ht="15.75">
      <c r="A37" s="173" t="s">
        <v>895</v>
      </c>
      <c r="B37" s="24"/>
      <c r="C37" s="24" t="s">
        <v>228</v>
      </c>
      <c r="D37" s="24" t="s">
        <v>290</v>
      </c>
      <c r="E37" s="3">
        <v>2.3</v>
      </c>
      <c r="F37" s="14">
        <f>+C55</f>
        <v>6.89</v>
      </c>
      <c r="H37" s="25">
        <f>E37*F37</f>
        <v>15.846999999999998</v>
      </c>
      <c r="I37" s="95">
        <f>SUM(H37:H38)</f>
        <v>25.921</v>
      </c>
      <c r="J37" s="5"/>
      <c r="L37" s="200"/>
    </row>
    <row r="38" spans="1:12" s="1" customFormat="1" ht="15.75">
      <c r="A38" s="174" t="s">
        <v>227</v>
      </c>
      <c r="B38" s="24"/>
      <c r="C38" s="24" t="s">
        <v>228</v>
      </c>
      <c r="D38" s="24" t="s">
        <v>229</v>
      </c>
      <c r="E38" s="3">
        <v>2.3</v>
      </c>
      <c r="F38" s="14">
        <f>+C56</f>
        <v>4.38</v>
      </c>
      <c r="H38" s="25">
        <f>E38*F38</f>
        <v>10.074</v>
      </c>
      <c r="I38" s="95"/>
      <c r="J38" s="5"/>
      <c r="L38" s="200"/>
    </row>
    <row r="39" spans="1:12" ht="16.5" thickBot="1">
      <c r="A39" s="90"/>
      <c r="B39" s="28"/>
      <c r="C39" s="28"/>
      <c r="D39" s="28"/>
      <c r="E39" s="8"/>
      <c r="F39" s="10"/>
      <c r="G39" s="67">
        <v>0</v>
      </c>
      <c r="H39" s="67">
        <f>SUM(H37:H38)</f>
        <v>25.921</v>
      </c>
      <c r="I39" s="88"/>
      <c r="J39" s="11"/>
      <c r="L39" s="199"/>
    </row>
    <row r="40" spans="1:12" ht="16.5" thickTop="1">
      <c r="A40" s="168">
        <v>11.7</v>
      </c>
      <c r="B40" s="69"/>
      <c r="C40" s="69"/>
      <c r="D40" s="69"/>
      <c r="E40" s="70"/>
      <c r="F40" s="84"/>
      <c r="G40" s="115"/>
      <c r="H40" s="115"/>
      <c r="I40" s="89"/>
      <c r="J40" s="71"/>
      <c r="L40" s="199"/>
    </row>
    <row r="41" spans="1:12" s="1" customFormat="1" ht="15.75">
      <c r="A41" s="173" t="s">
        <v>896</v>
      </c>
      <c r="B41" s="24"/>
      <c r="C41" s="24"/>
      <c r="D41" s="24"/>
      <c r="E41" s="3"/>
      <c r="F41" s="14"/>
      <c r="G41" s="85"/>
      <c r="H41" s="85"/>
      <c r="I41" s="95"/>
      <c r="J41" s="5"/>
      <c r="L41" s="200"/>
    </row>
    <row r="42" spans="1:12" s="1" customFormat="1" ht="15.75">
      <c r="A42" s="173" t="s">
        <v>897</v>
      </c>
      <c r="B42" s="24"/>
      <c r="C42" s="24"/>
      <c r="D42" s="24"/>
      <c r="E42" s="3"/>
      <c r="F42" s="14"/>
      <c r="G42" s="85"/>
      <c r="H42" s="85"/>
      <c r="I42" s="95"/>
      <c r="J42" s="5"/>
      <c r="L42" s="200"/>
    </row>
    <row r="43" spans="1:12" s="1" customFormat="1" ht="15.75">
      <c r="A43" s="174" t="s">
        <v>289</v>
      </c>
      <c r="B43" s="24"/>
      <c r="C43" s="24" t="s">
        <v>228</v>
      </c>
      <c r="D43" s="24" t="s">
        <v>290</v>
      </c>
      <c r="E43" s="3">
        <v>0.8</v>
      </c>
      <c r="F43" s="14">
        <f>+C55</f>
        <v>6.89</v>
      </c>
      <c r="H43" s="25">
        <f>E43*F43</f>
        <v>5.5120000000000005</v>
      </c>
      <c r="I43" s="95">
        <f>SUM(H43:H44)</f>
        <v>9.016</v>
      </c>
      <c r="J43" s="5"/>
      <c r="L43" s="200"/>
    </row>
    <row r="44" spans="1:12" s="1" customFormat="1" ht="15.75">
      <c r="A44" s="174" t="s">
        <v>227</v>
      </c>
      <c r="B44" s="24"/>
      <c r="C44" s="24" t="s">
        <v>228</v>
      </c>
      <c r="D44" s="24" t="s">
        <v>229</v>
      </c>
      <c r="E44" s="3">
        <v>0.8</v>
      </c>
      <c r="F44" s="14">
        <f>+C56</f>
        <v>4.38</v>
      </c>
      <c r="H44" s="25">
        <f>E44*F44</f>
        <v>3.504</v>
      </c>
      <c r="I44" s="95"/>
      <c r="J44" s="5"/>
      <c r="L44" s="200"/>
    </row>
    <row r="45" spans="1:12" ht="16.5" thickBot="1">
      <c r="A45" s="90"/>
      <c r="B45" s="28"/>
      <c r="C45" s="28"/>
      <c r="D45" s="28"/>
      <c r="E45" s="8"/>
      <c r="F45" s="10"/>
      <c r="G45" s="67">
        <v>0</v>
      </c>
      <c r="H45" s="67">
        <f>SUM(H43:H44)</f>
        <v>9.016</v>
      </c>
      <c r="I45" s="88"/>
      <c r="J45" s="11"/>
      <c r="L45" s="199"/>
    </row>
    <row r="46" spans="1:12" ht="16.5" thickTop="1">
      <c r="A46" s="177">
        <v>11.8</v>
      </c>
      <c r="B46" s="69"/>
      <c r="C46" s="69"/>
      <c r="D46" s="69"/>
      <c r="E46" s="70"/>
      <c r="F46" s="84"/>
      <c r="G46" s="115"/>
      <c r="H46" s="115"/>
      <c r="I46" s="89"/>
      <c r="J46" s="71"/>
      <c r="L46" s="199"/>
    </row>
    <row r="47" spans="1:12" s="1" customFormat="1" ht="15.75">
      <c r="A47" s="173" t="s">
        <v>898</v>
      </c>
      <c r="B47" s="24"/>
      <c r="C47" s="24"/>
      <c r="D47" s="24"/>
      <c r="E47" s="3"/>
      <c r="F47" s="14"/>
      <c r="G47" s="85"/>
      <c r="H47" s="85"/>
      <c r="I47" s="95"/>
      <c r="J47" s="5"/>
      <c r="L47" s="200"/>
    </row>
    <row r="48" spans="1:12" s="1" customFormat="1" ht="15.75">
      <c r="A48" s="173" t="s">
        <v>899</v>
      </c>
      <c r="B48" s="24"/>
      <c r="C48" s="24"/>
      <c r="D48" s="24"/>
      <c r="E48" s="3"/>
      <c r="F48" s="14"/>
      <c r="G48" s="85"/>
      <c r="H48" s="85"/>
      <c r="I48" s="95"/>
      <c r="J48" s="5"/>
      <c r="L48" s="200"/>
    </row>
    <row r="49" spans="1:12" s="1" customFormat="1" ht="15.75">
      <c r="A49" s="173" t="s">
        <v>900</v>
      </c>
      <c r="B49" s="24"/>
      <c r="C49" s="24" t="s">
        <v>228</v>
      </c>
      <c r="D49" s="24" t="s">
        <v>290</v>
      </c>
      <c r="E49" s="3">
        <v>1.5</v>
      </c>
      <c r="F49" s="14">
        <f>+C55</f>
        <v>6.89</v>
      </c>
      <c r="H49" s="25">
        <f>E49*F49</f>
        <v>10.334999999999999</v>
      </c>
      <c r="I49" s="95">
        <f>SUM(H49:H50)</f>
        <v>16.905</v>
      </c>
      <c r="J49" s="5"/>
      <c r="L49" s="200"/>
    </row>
    <row r="50" spans="1:12" s="1" customFormat="1" ht="15.75">
      <c r="A50" s="174" t="s">
        <v>227</v>
      </c>
      <c r="B50" s="24"/>
      <c r="C50" s="24" t="s">
        <v>228</v>
      </c>
      <c r="D50" s="24" t="s">
        <v>229</v>
      </c>
      <c r="E50" s="3">
        <v>1.5</v>
      </c>
      <c r="F50" s="14">
        <f>+C56</f>
        <v>4.38</v>
      </c>
      <c r="H50" s="25">
        <f>E50*F50</f>
        <v>6.57</v>
      </c>
      <c r="I50" s="95"/>
      <c r="J50" s="5"/>
      <c r="L50" s="201"/>
    </row>
    <row r="51" spans="1:10" s="21" customFormat="1" ht="16.5" thickBot="1">
      <c r="A51" s="192"/>
      <c r="B51" s="34"/>
      <c r="C51" s="17"/>
      <c r="D51" s="17"/>
      <c r="E51" s="18"/>
      <c r="F51" s="16"/>
      <c r="G51" s="66">
        <v>0</v>
      </c>
      <c r="H51" s="66">
        <f>SUM(H49:H50)</f>
        <v>16.905</v>
      </c>
      <c r="I51" s="94"/>
      <c r="J51" s="196"/>
    </row>
    <row r="52" spans="1:5" s="21" customFormat="1" ht="16.5" thickTop="1">
      <c r="A52" s="190"/>
      <c r="B52" s="40"/>
      <c r="C52" s="40"/>
      <c r="D52" s="40"/>
      <c r="E52" s="23"/>
    </row>
    <row r="53" spans="1:5" s="21" customFormat="1" ht="15.75">
      <c r="A53" s="191"/>
      <c r="B53" s="40"/>
      <c r="C53" s="40"/>
      <c r="D53" s="40"/>
      <c r="E53" s="23"/>
    </row>
    <row r="54" spans="1:10" ht="15.75">
      <c r="A54" s="22"/>
      <c r="B54" s="40"/>
      <c r="C54" s="40"/>
      <c r="D54" s="40"/>
      <c r="E54" s="23"/>
      <c r="F54" s="21"/>
      <c r="G54" s="21"/>
      <c r="H54" s="21"/>
      <c r="I54" s="21"/>
      <c r="J54" s="21"/>
    </row>
    <row r="55" spans="1:10" ht="15.75">
      <c r="A55" s="22"/>
      <c r="B55" s="301" t="s">
        <v>290</v>
      </c>
      <c r="C55" s="40">
        <v>6.89</v>
      </c>
      <c r="D55" s="40"/>
      <c r="E55" s="23"/>
      <c r="F55" s="21"/>
      <c r="G55" s="21"/>
      <c r="H55" s="21"/>
      <c r="I55" s="21"/>
      <c r="J55" s="195"/>
    </row>
    <row r="56" spans="1:10" ht="15.75">
      <c r="A56" s="22"/>
      <c r="B56" s="301" t="s">
        <v>229</v>
      </c>
      <c r="C56" s="40">
        <v>4.38</v>
      </c>
      <c r="D56" s="40"/>
      <c r="E56" s="23"/>
      <c r="F56" s="21"/>
      <c r="G56" s="21"/>
      <c r="H56" s="21"/>
      <c r="I56" s="21"/>
      <c r="J56" s="21"/>
    </row>
    <row r="57" spans="1:10" ht="15.75">
      <c r="A57" s="22"/>
      <c r="B57" s="40"/>
      <c r="C57" s="22"/>
      <c r="D57" s="22"/>
      <c r="E57" s="23"/>
      <c r="F57" s="21"/>
      <c r="G57" s="21"/>
      <c r="H57" s="21"/>
      <c r="I57" s="21"/>
      <c r="J57" s="21"/>
    </row>
    <row r="58" spans="1:10" ht="15.75">
      <c r="A58" s="22"/>
      <c r="B58" s="40"/>
      <c r="C58" s="40"/>
      <c r="D58" s="40"/>
      <c r="E58" s="23"/>
      <c r="F58" s="21"/>
      <c r="G58" s="21"/>
      <c r="H58" s="21"/>
      <c r="I58" s="21"/>
      <c r="J58" s="21"/>
    </row>
    <row r="59" spans="1:10" ht="15.75">
      <c r="A59" s="22"/>
      <c r="B59" s="40"/>
      <c r="C59" s="40"/>
      <c r="D59" s="40"/>
      <c r="E59" s="23"/>
      <c r="F59" s="21"/>
      <c r="G59" s="21"/>
      <c r="H59" s="21"/>
      <c r="I59" s="21"/>
      <c r="J59" s="21"/>
    </row>
    <row r="60" spans="1:10" ht="15.75">
      <c r="A60" s="22"/>
      <c r="B60" s="40"/>
      <c r="C60" s="40"/>
      <c r="D60" s="40"/>
      <c r="E60" s="23"/>
      <c r="F60" s="21"/>
      <c r="G60" s="21"/>
      <c r="H60" s="21"/>
      <c r="I60" s="21"/>
      <c r="J60" s="21"/>
    </row>
    <row r="128" spans="1:10" ht="15.75">
      <c r="A128" s="22"/>
      <c r="B128" s="40"/>
      <c r="C128" s="40"/>
      <c r="D128" s="40"/>
      <c r="E128" s="23"/>
      <c r="F128" s="21"/>
      <c r="G128" s="21"/>
      <c r="H128" s="21"/>
      <c r="I128" s="21"/>
      <c r="J128" s="21"/>
    </row>
    <row r="129" spans="1:10" ht="15.75">
      <c r="A129" s="22"/>
      <c r="B129" s="40"/>
      <c r="C129" s="40"/>
      <c r="D129" s="40"/>
      <c r="E129" s="23"/>
      <c r="F129" s="21"/>
      <c r="G129" s="21"/>
      <c r="H129" s="21"/>
      <c r="I129" s="21"/>
      <c r="J129" s="21"/>
    </row>
    <row r="130" spans="1:10" ht="15.75">
      <c r="A130" s="22"/>
      <c r="B130" s="40"/>
      <c r="C130" s="40"/>
      <c r="D130" s="40"/>
      <c r="E130" s="23"/>
      <c r="F130" s="21"/>
      <c r="G130" s="21"/>
      <c r="H130" s="21"/>
      <c r="I130" s="21"/>
      <c r="J130" s="21"/>
    </row>
    <row r="131" spans="1:10" ht="15.75">
      <c r="A131" s="22"/>
      <c r="B131" s="40"/>
      <c r="C131" s="40"/>
      <c r="D131" s="40"/>
      <c r="E131" s="23"/>
      <c r="F131" s="21"/>
      <c r="G131" s="21"/>
      <c r="H131" s="21"/>
      <c r="I131" s="21"/>
      <c r="J131" s="21"/>
    </row>
    <row r="132" spans="1:10" ht="15.75">
      <c r="A132" s="22"/>
      <c r="B132" s="40"/>
      <c r="C132" s="40"/>
      <c r="D132" s="40"/>
      <c r="E132" s="23"/>
      <c r="F132" s="21"/>
      <c r="G132" s="21"/>
      <c r="H132" s="21"/>
      <c r="I132" s="21"/>
      <c r="J132" s="21"/>
    </row>
    <row r="133" spans="1:10" ht="15.75">
      <c r="A133" s="22"/>
      <c r="B133" s="40"/>
      <c r="C133" s="40"/>
      <c r="D133" s="40"/>
      <c r="E133" s="23"/>
      <c r="F133" s="21"/>
      <c r="G133" s="21"/>
      <c r="H133" s="21"/>
      <c r="I133" s="21"/>
      <c r="J133" s="21"/>
    </row>
    <row r="134" spans="1:10" ht="15.75">
      <c r="A134" s="22"/>
      <c r="B134" s="40"/>
      <c r="C134" s="40"/>
      <c r="D134" s="40"/>
      <c r="E134" s="23"/>
      <c r="F134" s="21"/>
      <c r="G134" s="21"/>
      <c r="H134" s="21"/>
      <c r="I134" s="21"/>
      <c r="J134" s="21"/>
    </row>
    <row r="135" spans="1:10" ht="15.75">
      <c r="A135" s="22"/>
      <c r="B135" s="40"/>
      <c r="C135" s="40"/>
      <c r="D135" s="40"/>
      <c r="E135" s="23"/>
      <c r="F135" s="21"/>
      <c r="G135" s="21"/>
      <c r="H135" s="21"/>
      <c r="I135" s="21"/>
      <c r="J135" s="21"/>
    </row>
    <row r="136" spans="1:10" ht="15.75">
      <c r="A136" s="22"/>
      <c r="B136" s="40"/>
      <c r="C136" s="40"/>
      <c r="D136" s="40"/>
      <c r="E136" s="23"/>
      <c r="F136" s="21"/>
      <c r="G136" s="21"/>
      <c r="H136" s="21"/>
      <c r="I136" s="21"/>
      <c r="J136" s="21"/>
    </row>
    <row r="137" spans="1:10" ht="15.75">
      <c r="A137" s="22"/>
      <c r="B137" s="40"/>
      <c r="C137" s="40"/>
      <c r="D137" s="40"/>
      <c r="E137" s="23"/>
      <c r="F137" s="21"/>
      <c r="G137" s="21"/>
      <c r="H137" s="21"/>
      <c r="I137" s="21"/>
      <c r="J137" s="21"/>
    </row>
    <row r="138" spans="1:10" ht="15.75">
      <c r="A138" s="22"/>
      <c r="B138" s="40"/>
      <c r="C138" s="40"/>
      <c r="D138" s="40"/>
      <c r="E138" s="23"/>
      <c r="F138" s="21"/>
      <c r="G138" s="21"/>
      <c r="H138" s="21"/>
      <c r="I138" s="21"/>
      <c r="J138" s="21"/>
    </row>
    <row r="139" spans="1:10" ht="15.75">
      <c r="A139" s="22"/>
      <c r="B139" s="40"/>
      <c r="C139" s="40"/>
      <c r="D139" s="40"/>
      <c r="E139" s="23"/>
      <c r="F139" s="21"/>
      <c r="G139" s="21"/>
      <c r="H139" s="21"/>
      <c r="I139" s="21"/>
      <c r="J139" s="21"/>
    </row>
    <row r="140" spans="1:10" ht="15.75">
      <c r="A140" s="22"/>
      <c r="B140" s="40"/>
      <c r="C140" s="40"/>
      <c r="D140" s="40"/>
      <c r="E140" s="23"/>
      <c r="F140" s="21"/>
      <c r="G140" s="21"/>
      <c r="H140" s="21"/>
      <c r="I140" s="21"/>
      <c r="J140" s="21"/>
    </row>
    <row r="141" spans="1:10" ht="15.75">
      <c r="A141" s="22"/>
      <c r="B141" s="40"/>
      <c r="C141" s="40"/>
      <c r="D141" s="40"/>
      <c r="E141" s="23"/>
      <c r="F141" s="21"/>
      <c r="G141" s="21"/>
      <c r="H141" s="21"/>
      <c r="I141" s="21"/>
      <c r="J141" s="21"/>
    </row>
    <row r="142" spans="1:10" ht="15.75">
      <c r="A142" s="22"/>
      <c r="B142" s="40"/>
      <c r="C142" s="40"/>
      <c r="D142" s="40"/>
      <c r="E142" s="23"/>
      <c r="F142" s="21"/>
      <c r="G142" s="21"/>
      <c r="H142" s="21"/>
      <c r="I142" s="21"/>
      <c r="J142" s="21"/>
    </row>
    <row r="143" spans="1:10" ht="15.75">
      <c r="A143" s="22"/>
      <c r="B143" s="40"/>
      <c r="C143" s="40"/>
      <c r="D143" s="40"/>
      <c r="E143" s="23"/>
      <c r="F143" s="21"/>
      <c r="G143" s="21"/>
      <c r="H143" s="21"/>
      <c r="I143" s="21"/>
      <c r="J143" s="21"/>
    </row>
    <row r="144" spans="1:10" ht="15.75">
      <c r="A144" s="22"/>
      <c r="B144" s="40"/>
      <c r="C144" s="40"/>
      <c r="D144" s="40"/>
      <c r="E144" s="23"/>
      <c r="F144" s="21"/>
      <c r="G144" s="21"/>
      <c r="H144" s="21"/>
      <c r="I144" s="21"/>
      <c r="J144" s="21"/>
    </row>
    <row r="145" spans="1:10" ht="15.75">
      <c r="A145" s="22"/>
      <c r="B145" s="40"/>
      <c r="C145" s="40"/>
      <c r="D145" s="40"/>
      <c r="E145" s="23"/>
      <c r="F145" s="21"/>
      <c r="G145" s="21"/>
      <c r="H145" s="21"/>
      <c r="I145" s="21"/>
      <c r="J145" s="21"/>
    </row>
    <row r="146" spans="1:10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  <row r="220" spans="1:10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</row>
    <row r="221" spans="1:10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0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</row>
    <row r="228" spans="1:10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0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</row>
    <row r="231" spans="1:10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1:10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</sheetData>
  <printOptions horizontalCentered="1" verticalCentered="1"/>
  <pageMargins left="0.037401575" right="0.037401575" top="1" bottom="0.28" header="0" footer="0"/>
  <pageSetup horizontalDpi="200" verticalDpi="200" orientation="landscape" paperSize="5" scale="80" r:id="rId1"/>
  <rowBreaks count="1" manualBreakCount="1">
    <brk id="59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1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22" sqref="C122"/>
    </sheetView>
  </sheetViews>
  <sheetFormatPr defaultColWidth="11.421875" defaultRowHeight="12.75"/>
  <cols>
    <col min="1" max="1" width="53.00390625" style="0" customWidth="1"/>
    <col min="2" max="2" width="5.7109375" style="0" customWidth="1"/>
    <col min="3" max="3" width="9.421875" style="0" customWidth="1"/>
    <col min="4" max="4" width="9.28125" style="0" customWidth="1"/>
    <col min="6" max="6" width="9.421875" style="0" customWidth="1"/>
    <col min="7" max="7" width="10.140625" style="0" customWidth="1"/>
    <col min="8" max="8" width="9.28125" style="0" customWidth="1"/>
    <col min="9" max="9" width="10.7109375" style="0" customWidth="1"/>
    <col min="10" max="10" width="90.28125" style="0" customWidth="1"/>
  </cols>
  <sheetData>
    <row r="1" spans="1:10" ht="17.25" thickBot="1" thickTop="1">
      <c r="A1" s="275" t="s">
        <v>901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s="1" customFormat="1" ht="16.5" thickTop="1">
      <c r="A3" s="171">
        <v>12.1</v>
      </c>
      <c r="B3" s="125"/>
      <c r="C3" s="125"/>
      <c r="D3" s="126"/>
      <c r="E3" s="126"/>
      <c r="F3" s="126"/>
      <c r="G3" s="125"/>
      <c r="H3" s="126"/>
      <c r="I3" s="125"/>
      <c r="J3" s="152"/>
    </row>
    <row r="4" spans="1:10" s="1" customFormat="1" ht="15.75">
      <c r="A4" s="179" t="s">
        <v>902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s="1" customFormat="1" ht="15.75">
      <c r="A5" s="179" t="s">
        <v>903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s="1" customFormat="1" ht="15.75">
      <c r="A6" s="179" t="s">
        <v>904</v>
      </c>
      <c r="B6" s="125"/>
      <c r="C6" s="125"/>
      <c r="D6" s="126"/>
      <c r="E6" s="126"/>
      <c r="F6" s="126"/>
      <c r="G6" s="125"/>
      <c r="H6" s="126"/>
      <c r="I6" s="125"/>
      <c r="J6" s="152"/>
    </row>
    <row r="7" spans="1:10" s="1" customFormat="1" ht="15.75">
      <c r="A7" s="179" t="s">
        <v>905</v>
      </c>
      <c r="B7" s="125"/>
      <c r="C7" s="125"/>
      <c r="D7" s="126"/>
      <c r="E7" s="126"/>
      <c r="F7" s="126"/>
      <c r="G7" s="125"/>
      <c r="H7" s="126"/>
      <c r="I7" s="125"/>
      <c r="J7" s="152"/>
    </row>
    <row r="8" spans="1:10" s="1" customFormat="1" ht="15.75">
      <c r="A8" s="179" t="s">
        <v>906</v>
      </c>
      <c r="B8" s="125"/>
      <c r="C8" s="125"/>
      <c r="D8" s="126"/>
      <c r="E8" s="126"/>
      <c r="F8" s="126"/>
      <c r="G8" s="125"/>
      <c r="H8" s="126"/>
      <c r="I8" s="125"/>
      <c r="J8" s="152"/>
    </row>
    <row r="9" spans="1:10" s="1" customFormat="1" ht="15.75">
      <c r="A9" s="179"/>
      <c r="B9" s="125"/>
      <c r="C9" s="125"/>
      <c r="D9" s="126"/>
      <c r="E9" s="126"/>
      <c r="F9" s="126"/>
      <c r="G9" s="125"/>
      <c r="H9" s="126"/>
      <c r="I9" s="125"/>
      <c r="J9" s="152"/>
    </row>
    <row r="10" spans="1:10" s="1" customFormat="1" ht="15.75">
      <c r="A10" s="179" t="s">
        <v>907</v>
      </c>
      <c r="B10" s="125"/>
      <c r="C10" s="125"/>
      <c r="D10" s="126"/>
      <c r="E10" s="126"/>
      <c r="F10" s="126"/>
      <c r="G10" s="125"/>
      <c r="H10" s="126"/>
      <c r="I10" s="125"/>
      <c r="J10" s="152"/>
    </row>
    <row r="11" spans="1:10" s="1" customFormat="1" ht="15.75">
      <c r="A11" s="174" t="s">
        <v>624</v>
      </c>
      <c r="B11" s="24" t="s">
        <v>387</v>
      </c>
      <c r="C11" s="24" t="s">
        <v>287</v>
      </c>
      <c r="D11" s="24" t="s">
        <v>355</v>
      </c>
      <c r="E11" s="3">
        <v>22.1</v>
      </c>
      <c r="F11" s="14">
        <f aca="true" t="shared" si="0" ref="F11:F16">IF(D11="ag-01",0.12,IF(D11="ar-02",18.43,IF(D11="ar-05",28.79,IF(D11="pm-01",1.8,IF(D11="op-02",4.31,IF(D11="op-01",6.89,IF(D11="pm-02",0.68,IF(D11="ac-01",1.06))))))))</f>
        <v>0.12</v>
      </c>
      <c r="G11" s="25">
        <f aca="true" t="shared" si="1" ref="G11:G16">E11*F11</f>
        <v>2.652</v>
      </c>
      <c r="I11" s="95">
        <f>SUM(G19,H19)</f>
        <v>25.2543</v>
      </c>
      <c r="J11" s="5"/>
    </row>
    <row r="12" spans="1:10" s="1" customFormat="1" ht="15.75">
      <c r="A12" s="174" t="s">
        <v>671</v>
      </c>
      <c r="B12" s="24"/>
      <c r="C12" s="24" t="s">
        <v>357</v>
      </c>
      <c r="D12" s="24" t="s">
        <v>672</v>
      </c>
      <c r="E12" s="3">
        <v>0.045</v>
      </c>
      <c r="F12" s="14">
        <f t="shared" si="0"/>
        <v>18.43</v>
      </c>
      <c r="G12" s="25">
        <f t="shared" si="1"/>
        <v>0.8293499999999999</v>
      </c>
      <c r="I12" s="95"/>
      <c r="J12" s="5"/>
    </row>
    <row r="13" spans="1:10" s="1" customFormat="1" ht="15.75">
      <c r="A13" s="174" t="s">
        <v>673</v>
      </c>
      <c r="B13" s="24"/>
      <c r="C13" s="24" t="s">
        <v>357</v>
      </c>
      <c r="D13" s="24" t="s">
        <v>674</v>
      </c>
      <c r="E13" s="3">
        <v>0.045</v>
      </c>
      <c r="F13" s="14">
        <f t="shared" si="0"/>
        <v>28.79</v>
      </c>
      <c r="G13" s="25">
        <f t="shared" si="1"/>
        <v>1.29555</v>
      </c>
      <c r="I13" s="95"/>
      <c r="J13" s="5"/>
    </row>
    <row r="14" spans="1:10" s="1" customFormat="1" ht="15.75">
      <c r="A14" s="174" t="s">
        <v>908</v>
      </c>
      <c r="B14" s="24"/>
      <c r="C14" s="24" t="s">
        <v>634</v>
      </c>
      <c r="D14" s="24" t="s">
        <v>909</v>
      </c>
      <c r="E14" s="3">
        <v>2</v>
      </c>
      <c r="F14" s="14">
        <f t="shared" si="0"/>
        <v>1.8</v>
      </c>
      <c r="G14" s="25">
        <f t="shared" si="1"/>
        <v>3.6</v>
      </c>
      <c r="I14" s="95"/>
      <c r="J14" s="5"/>
    </row>
    <row r="15" spans="1:10" s="1" customFormat="1" ht="15.75">
      <c r="A15" s="174" t="s">
        <v>910</v>
      </c>
      <c r="B15" s="24"/>
      <c r="C15" s="24" t="s">
        <v>574</v>
      </c>
      <c r="D15" s="24" t="s">
        <v>911</v>
      </c>
      <c r="E15" s="3">
        <v>8</v>
      </c>
      <c r="F15" s="14">
        <f t="shared" si="0"/>
        <v>0.68</v>
      </c>
      <c r="G15" s="25">
        <f t="shared" si="1"/>
        <v>5.44</v>
      </c>
      <c r="I15" s="95"/>
      <c r="J15" s="5"/>
    </row>
    <row r="16" spans="1:10" s="1" customFormat="1" ht="15.75">
      <c r="A16" s="174" t="s">
        <v>912</v>
      </c>
      <c r="B16" s="24"/>
      <c r="C16" s="24" t="s">
        <v>294</v>
      </c>
      <c r="D16" s="24" t="s">
        <v>680</v>
      </c>
      <c r="E16" s="3">
        <v>1.1</v>
      </c>
      <c r="F16" s="14">
        <f t="shared" si="0"/>
        <v>1.06</v>
      </c>
      <c r="G16" s="25">
        <f t="shared" si="1"/>
        <v>1.1660000000000001</v>
      </c>
      <c r="I16" s="95"/>
      <c r="J16" s="5"/>
    </row>
    <row r="17" spans="1:10" s="1" customFormat="1" ht="15.75">
      <c r="A17" s="174" t="s">
        <v>289</v>
      </c>
      <c r="B17" s="24"/>
      <c r="C17" s="24" t="s">
        <v>228</v>
      </c>
      <c r="D17" s="24" t="s">
        <v>290</v>
      </c>
      <c r="E17" s="3">
        <v>0.48</v>
      </c>
      <c r="F17" s="14">
        <f>+C120</f>
        <v>6.89</v>
      </c>
      <c r="H17" s="25">
        <f>E17*F17</f>
        <v>3.3072</v>
      </c>
      <c r="I17" s="95"/>
      <c r="J17" s="5"/>
    </row>
    <row r="18" spans="1:10" s="1" customFormat="1" ht="15.75">
      <c r="A18" s="174" t="s">
        <v>227</v>
      </c>
      <c r="B18" s="24"/>
      <c r="C18" s="24" t="s">
        <v>228</v>
      </c>
      <c r="D18" s="24" t="s">
        <v>229</v>
      </c>
      <c r="E18" s="3">
        <v>1.59</v>
      </c>
      <c r="F18" s="14">
        <f>+C121</f>
        <v>4.38</v>
      </c>
      <c r="H18" s="25">
        <f>E18*F18</f>
        <v>6.9642</v>
      </c>
      <c r="I18" s="95"/>
      <c r="J18" s="5"/>
    </row>
    <row r="19" spans="1:10" s="1" customFormat="1" ht="15.75">
      <c r="A19" s="174"/>
      <c r="B19" s="24"/>
      <c r="C19" s="24"/>
      <c r="D19" s="24"/>
      <c r="E19" s="3"/>
      <c r="F19" s="14"/>
      <c r="G19" s="254">
        <f>SUM(G11:G16)</f>
        <v>14.9829</v>
      </c>
      <c r="H19" s="85">
        <f>SUM(H17:H18)</f>
        <v>10.2714</v>
      </c>
      <c r="I19" s="95"/>
      <c r="J19" s="5"/>
    </row>
    <row r="20" spans="1:10" s="1" customFormat="1" ht="15.75">
      <c r="A20" s="173" t="s">
        <v>913</v>
      </c>
      <c r="B20" s="24"/>
      <c r="C20" s="24"/>
      <c r="D20" s="24"/>
      <c r="E20" s="3"/>
      <c r="F20" s="14"/>
      <c r="G20" s="85"/>
      <c r="H20" s="85"/>
      <c r="I20" s="95"/>
      <c r="J20" s="5"/>
    </row>
    <row r="21" spans="1:10" s="1" customFormat="1" ht="15.75">
      <c r="A21" s="174" t="s">
        <v>624</v>
      </c>
      <c r="B21" s="52" t="s">
        <v>389</v>
      </c>
      <c r="C21" s="24" t="s">
        <v>287</v>
      </c>
      <c r="D21" s="24" t="s">
        <v>355</v>
      </c>
      <c r="E21" s="3">
        <v>25.16</v>
      </c>
      <c r="F21" s="14">
        <f aca="true" t="shared" si="2" ref="F21:F36">IF(D21="ag-01",0.12,IF(D21="ar-02",18.43,IF(D21="ar-05",28.79,IF(D21="pm-03",1.8,IF(D21="op-02",4.31,IF(D21="op-01",6.89,IF(D21="pm-04",0.75,IF(D21="ac-01",1.06))))))))</f>
        <v>0.12</v>
      </c>
      <c r="G21" s="25">
        <f aca="true" t="shared" si="3" ref="G21:G26">E21*F21</f>
        <v>3.0192</v>
      </c>
      <c r="I21" s="95">
        <f>SUM(G29,H29)</f>
        <v>28.79952</v>
      </c>
      <c r="J21" s="5"/>
    </row>
    <row r="22" spans="1:10" s="1" customFormat="1" ht="15.75">
      <c r="A22" s="174" t="s">
        <v>671</v>
      </c>
      <c r="B22" s="52"/>
      <c r="C22" s="24" t="s">
        <v>357</v>
      </c>
      <c r="D22" s="24" t="s">
        <v>672</v>
      </c>
      <c r="E22" s="3">
        <v>0.051</v>
      </c>
      <c r="F22" s="14">
        <f t="shared" si="2"/>
        <v>18.43</v>
      </c>
      <c r="G22" s="25">
        <f t="shared" si="3"/>
        <v>0.9399299999999999</v>
      </c>
      <c r="I22" s="95"/>
      <c r="J22" s="5"/>
    </row>
    <row r="23" spans="1:10" s="1" customFormat="1" ht="15.75">
      <c r="A23" s="174" t="s">
        <v>673</v>
      </c>
      <c r="B23" s="52"/>
      <c r="C23" s="24" t="s">
        <v>357</v>
      </c>
      <c r="D23" s="24" t="s">
        <v>674</v>
      </c>
      <c r="E23" s="3">
        <v>0.051</v>
      </c>
      <c r="F23" s="14">
        <f t="shared" si="2"/>
        <v>28.79</v>
      </c>
      <c r="G23" s="25">
        <f t="shared" si="3"/>
        <v>1.4682899999999999</v>
      </c>
      <c r="I23" s="95"/>
      <c r="J23" s="5"/>
    </row>
    <row r="24" spans="1:10" s="1" customFormat="1" ht="15.75">
      <c r="A24" s="174" t="s">
        <v>908</v>
      </c>
      <c r="B24" s="52"/>
      <c r="C24" s="24" t="s">
        <v>634</v>
      </c>
      <c r="D24" s="24" t="s">
        <v>914</v>
      </c>
      <c r="E24" s="3">
        <v>2</v>
      </c>
      <c r="F24" s="14">
        <f t="shared" si="2"/>
        <v>1.8</v>
      </c>
      <c r="G24" s="25">
        <f t="shared" si="3"/>
        <v>3.6</v>
      </c>
      <c r="I24" s="95"/>
      <c r="J24" s="5"/>
    </row>
    <row r="25" spans="1:10" s="1" customFormat="1" ht="15.75">
      <c r="A25" s="174" t="s">
        <v>915</v>
      </c>
      <c r="B25" s="52"/>
      <c r="C25" s="24" t="s">
        <v>574</v>
      </c>
      <c r="D25" s="24" t="s">
        <v>916</v>
      </c>
      <c r="E25" s="3">
        <v>8</v>
      </c>
      <c r="F25" s="14">
        <f t="shared" si="2"/>
        <v>0.75</v>
      </c>
      <c r="G25" s="25">
        <f t="shared" si="3"/>
        <v>6</v>
      </c>
      <c r="I25" s="95"/>
      <c r="J25" s="5"/>
    </row>
    <row r="26" spans="1:10" s="1" customFormat="1" ht="15.75">
      <c r="A26" s="174" t="s">
        <v>912</v>
      </c>
      <c r="B26" s="52"/>
      <c r="C26" s="24" t="s">
        <v>294</v>
      </c>
      <c r="D26" s="24" t="s">
        <v>680</v>
      </c>
      <c r="E26" s="3">
        <v>1.1</v>
      </c>
      <c r="F26" s="14">
        <f t="shared" si="2"/>
        <v>1.06</v>
      </c>
      <c r="G26" s="25">
        <f t="shared" si="3"/>
        <v>1.1660000000000001</v>
      </c>
      <c r="I26" s="95"/>
      <c r="J26" s="5"/>
    </row>
    <row r="27" spans="1:10" s="1" customFormat="1" ht="15.75">
      <c r="A27" s="174" t="s">
        <v>289</v>
      </c>
      <c r="B27" s="52"/>
      <c r="C27" s="24" t="s">
        <v>228</v>
      </c>
      <c r="D27" s="24" t="s">
        <v>290</v>
      </c>
      <c r="E27" s="3">
        <v>0.59</v>
      </c>
      <c r="F27" s="14">
        <f>+C120</f>
        <v>6.89</v>
      </c>
      <c r="H27" s="25">
        <f>E27*F27</f>
        <v>4.065099999999999</v>
      </c>
      <c r="I27" s="95"/>
      <c r="J27" s="5"/>
    </row>
    <row r="28" spans="1:10" s="1" customFormat="1" ht="15.75">
      <c r="A28" s="174" t="s">
        <v>227</v>
      </c>
      <c r="B28" s="52"/>
      <c r="C28" s="24" t="s">
        <v>228</v>
      </c>
      <c r="D28" s="24" t="s">
        <v>229</v>
      </c>
      <c r="E28" s="3">
        <v>1.95</v>
      </c>
      <c r="F28" s="14">
        <f>+C121</f>
        <v>4.38</v>
      </c>
      <c r="G28" s="85"/>
      <c r="H28" s="25">
        <f>E28*F28</f>
        <v>8.541</v>
      </c>
      <c r="I28" s="95"/>
      <c r="J28" s="5"/>
    </row>
    <row r="29" spans="1:10" s="1" customFormat="1" ht="15.75">
      <c r="A29" s="174"/>
      <c r="B29" s="52"/>
      <c r="C29" s="24"/>
      <c r="D29" s="24"/>
      <c r="E29" s="3"/>
      <c r="F29" s="14"/>
      <c r="G29" s="254">
        <f>SUM(G21:G26)</f>
        <v>16.19342</v>
      </c>
      <c r="H29" s="85">
        <f>SUM(H27:H28)</f>
        <v>12.6061</v>
      </c>
      <c r="I29" s="95"/>
      <c r="J29" s="5"/>
    </row>
    <row r="30" spans="1:10" s="1" customFormat="1" ht="15.75">
      <c r="A30" s="173" t="s">
        <v>917</v>
      </c>
      <c r="B30" s="52"/>
      <c r="C30" s="24"/>
      <c r="D30" s="24"/>
      <c r="E30" s="3"/>
      <c r="F30" s="14"/>
      <c r="G30" s="85"/>
      <c r="H30" s="85"/>
      <c r="I30" s="95"/>
      <c r="J30" s="5"/>
    </row>
    <row r="31" spans="1:10" s="1" customFormat="1" ht="15.75">
      <c r="A31" s="174" t="s">
        <v>624</v>
      </c>
      <c r="B31" s="24" t="s">
        <v>404</v>
      </c>
      <c r="C31" s="24" t="s">
        <v>287</v>
      </c>
      <c r="D31" s="24" t="s">
        <v>355</v>
      </c>
      <c r="E31" s="3">
        <v>37.4</v>
      </c>
      <c r="F31" s="14">
        <f t="shared" si="2"/>
        <v>0.12</v>
      </c>
      <c r="G31" s="25">
        <f aca="true" t="shared" si="4" ref="G31:G36">E31*F31</f>
        <v>4.4879999999999995</v>
      </c>
      <c r="I31" s="95">
        <f>SUM(G39,H39)</f>
        <v>33.94672</v>
      </c>
      <c r="J31" s="5"/>
    </row>
    <row r="32" spans="1:10" s="1" customFormat="1" ht="15.75">
      <c r="A32" s="174" t="s">
        <v>671</v>
      </c>
      <c r="B32" s="24"/>
      <c r="C32" s="24" t="s">
        <v>357</v>
      </c>
      <c r="D32" s="24" t="s">
        <v>672</v>
      </c>
      <c r="E32" s="3">
        <v>0.076</v>
      </c>
      <c r="F32" s="14">
        <f t="shared" si="2"/>
        <v>18.43</v>
      </c>
      <c r="G32" s="25">
        <f t="shared" si="4"/>
        <v>1.40068</v>
      </c>
      <c r="I32" s="95"/>
      <c r="J32" s="5"/>
    </row>
    <row r="33" spans="1:10" s="1" customFormat="1" ht="15.75">
      <c r="A33" s="174" t="s">
        <v>673</v>
      </c>
      <c r="B33" s="24"/>
      <c r="C33" s="24" t="s">
        <v>357</v>
      </c>
      <c r="D33" s="24" t="s">
        <v>674</v>
      </c>
      <c r="E33" s="3">
        <v>0.076</v>
      </c>
      <c r="F33" s="14">
        <f t="shared" si="2"/>
        <v>28.79</v>
      </c>
      <c r="G33" s="25">
        <f t="shared" si="4"/>
        <v>2.18804</v>
      </c>
      <c r="I33" s="95"/>
      <c r="J33" s="5"/>
    </row>
    <row r="34" spans="1:10" s="1" customFormat="1" ht="15.75">
      <c r="A34" s="174" t="s">
        <v>908</v>
      </c>
      <c r="B34" s="24"/>
      <c r="C34" s="24" t="s">
        <v>634</v>
      </c>
      <c r="D34" s="24" t="s">
        <v>914</v>
      </c>
      <c r="E34" s="3">
        <v>3.19</v>
      </c>
      <c r="F34" s="14">
        <f t="shared" si="2"/>
        <v>1.8</v>
      </c>
      <c r="G34" s="25">
        <f t="shared" si="4"/>
        <v>5.742</v>
      </c>
      <c r="I34" s="95"/>
      <c r="J34" s="5"/>
    </row>
    <row r="35" spans="1:10" s="1" customFormat="1" ht="15.75">
      <c r="A35" s="174" t="s">
        <v>915</v>
      </c>
      <c r="B35" s="24"/>
      <c r="C35" s="24" t="s">
        <v>574</v>
      </c>
      <c r="D35" s="24" t="s">
        <v>916</v>
      </c>
      <c r="E35" s="3">
        <v>6.38</v>
      </c>
      <c r="F35" s="14">
        <f t="shared" si="2"/>
        <v>0.75</v>
      </c>
      <c r="G35" s="25">
        <f t="shared" si="4"/>
        <v>4.785</v>
      </c>
      <c r="I35" s="95"/>
      <c r="J35" s="5"/>
    </row>
    <row r="36" spans="1:10" s="1" customFormat="1" ht="15.75">
      <c r="A36" s="174" t="s">
        <v>912</v>
      </c>
      <c r="B36" s="24"/>
      <c r="C36" s="24" t="s">
        <v>294</v>
      </c>
      <c r="D36" s="24" t="s">
        <v>680</v>
      </c>
      <c r="E36" s="3">
        <v>1.1</v>
      </c>
      <c r="F36" s="14">
        <f t="shared" si="2"/>
        <v>1.06</v>
      </c>
      <c r="G36" s="25">
        <f t="shared" si="4"/>
        <v>1.1660000000000001</v>
      </c>
      <c r="I36" s="95"/>
      <c r="J36" s="5"/>
    </row>
    <row r="37" spans="1:10" s="1" customFormat="1" ht="15.75">
      <c r="A37" s="174" t="s">
        <v>289</v>
      </c>
      <c r="B37" s="24"/>
      <c r="C37" s="24" t="s">
        <v>228</v>
      </c>
      <c r="D37" s="24" t="s">
        <v>290</v>
      </c>
      <c r="E37" s="3">
        <v>0.64</v>
      </c>
      <c r="F37" s="14">
        <f>+C120</f>
        <v>6.89</v>
      </c>
      <c r="H37" s="25">
        <f>E37*F37</f>
        <v>4.4096</v>
      </c>
      <c r="I37" s="95"/>
      <c r="J37" s="5"/>
    </row>
    <row r="38" spans="1:10" s="1" customFormat="1" ht="15.75">
      <c r="A38" s="174" t="s">
        <v>227</v>
      </c>
      <c r="B38" s="24"/>
      <c r="C38" s="24" t="s">
        <v>228</v>
      </c>
      <c r="D38" s="24" t="s">
        <v>229</v>
      </c>
      <c r="E38" s="3">
        <v>2.23</v>
      </c>
      <c r="F38" s="14">
        <f>+C121</f>
        <v>4.38</v>
      </c>
      <c r="H38" s="25">
        <f>E38*F38</f>
        <v>9.7674</v>
      </c>
      <c r="I38" s="95"/>
      <c r="J38" s="5"/>
    </row>
    <row r="39" spans="1:10" ht="16.5" thickBot="1">
      <c r="A39" s="90"/>
      <c r="B39" s="28"/>
      <c r="C39" s="28"/>
      <c r="D39" s="28"/>
      <c r="E39" s="8"/>
      <c r="F39" s="10"/>
      <c r="G39" s="67">
        <f>SUM(G31:G36)</f>
        <v>19.76972</v>
      </c>
      <c r="H39" s="67">
        <f>SUM(H37:H38)</f>
        <v>14.177</v>
      </c>
      <c r="I39" s="88"/>
      <c r="J39" s="11"/>
    </row>
    <row r="40" spans="1:10" s="1" customFormat="1" ht="16.5" thickTop="1">
      <c r="A40" s="177">
        <v>12.2</v>
      </c>
      <c r="B40" s="24"/>
      <c r="C40" s="24"/>
      <c r="D40" s="24"/>
      <c r="E40" s="3"/>
      <c r="F40" s="14"/>
      <c r="G40" s="85"/>
      <c r="H40" s="85"/>
      <c r="I40" s="95"/>
      <c r="J40" s="5"/>
    </row>
    <row r="41" spans="1:10" s="1" customFormat="1" ht="15.75">
      <c r="A41" s="173" t="s">
        <v>918</v>
      </c>
      <c r="B41" s="24"/>
      <c r="C41" s="24"/>
      <c r="D41" s="24"/>
      <c r="E41" s="3"/>
      <c r="F41" s="14"/>
      <c r="G41" s="85"/>
      <c r="H41" s="85"/>
      <c r="I41" s="95"/>
      <c r="J41" s="5"/>
    </row>
    <row r="42" spans="1:10" s="1" customFormat="1" ht="15.75">
      <c r="A42" s="173" t="s">
        <v>919</v>
      </c>
      <c r="B42" s="24"/>
      <c r="C42" s="24"/>
      <c r="D42" s="24"/>
      <c r="E42" s="3"/>
      <c r="F42" s="14"/>
      <c r="G42" s="85"/>
      <c r="H42" s="85"/>
      <c r="I42" s="95"/>
      <c r="J42" s="5"/>
    </row>
    <row r="43" spans="1:10" s="1" customFormat="1" ht="15.75">
      <c r="A43" s="173" t="s">
        <v>920</v>
      </c>
      <c r="B43" s="24"/>
      <c r="C43" s="24"/>
      <c r="D43" s="24"/>
      <c r="E43" s="3"/>
      <c r="F43" s="14"/>
      <c r="G43" s="85"/>
      <c r="H43" s="85"/>
      <c r="I43" s="95"/>
      <c r="J43" s="5"/>
    </row>
    <row r="44" spans="1:10" s="1" customFormat="1" ht="15.75">
      <c r="A44" s="173" t="s">
        <v>905</v>
      </c>
      <c r="B44" s="24"/>
      <c r="C44" s="24"/>
      <c r="D44" s="24"/>
      <c r="E44" s="3"/>
      <c r="F44" s="14"/>
      <c r="G44" s="85"/>
      <c r="H44" s="85"/>
      <c r="I44" s="95"/>
      <c r="J44" s="5"/>
    </row>
    <row r="45" spans="1:10" s="1" customFormat="1" ht="15.75">
      <c r="A45" s="173" t="s">
        <v>921</v>
      </c>
      <c r="B45" s="24"/>
      <c r="C45" s="24"/>
      <c r="D45" s="24"/>
      <c r="E45" s="3"/>
      <c r="F45" s="14"/>
      <c r="G45" s="85"/>
      <c r="H45" s="85"/>
      <c r="I45" s="95"/>
      <c r="J45" s="5"/>
    </row>
    <row r="46" spans="1:10" s="1" customFormat="1" ht="15.75">
      <c r="A46" s="173"/>
      <c r="B46" s="24"/>
      <c r="C46" s="24"/>
      <c r="D46" s="24"/>
      <c r="E46" s="3"/>
      <c r="F46" s="14"/>
      <c r="G46" s="85"/>
      <c r="H46" s="85"/>
      <c r="I46" s="95"/>
      <c r="J46" s="5"/>
    </row>
    <row r="47" spans="1:10" s="1" customFormat="1" ht="15.75">
      <c r="A47" s="173" t="s">
        <v>922</v>
      </c>
      <c r="B47" s="24"/>
      <c r="C47" s="24"/>
      <c r="D47" s="24"/>
      <c r="E47" s="3"/>
      <c r="F47" s="14"/>
      <c r="G47" s="85"/>
      <c r="H47" s="85"/>
      <c r="I47" s="95"/>
      <c r="J47" s="5"/>
    </row>
    <row r="48" spans="1:10" s="1" customFormat="1" ht="15.75">
      <c r="A48" s="174" t="s">
        <v>624</v>
      </c>
      <c r="B48" s="24" t="s">
        <v>387</v>
      </c>
      <c r="C48" s="24" t="s">
        <v>287</v>
      </c>
      <c r="D48" s="24" t="s">
        <v>355</v>
      </c>
      <c r="E48" s="3">
        <v>23.12</v>
      </c>
      <c r="F48" s="14">
        <f aca="true" t="shared" si="5" ref="F48:F53">IF(D48="ag-01",0.12,IF(D48="ar-02",18.43,IF(D48="ar-05",28.79,IF(D48="pm-03",1.8,IF(D48="op-02",4.31,IF(D48="op-01",6.89,IF(D48="pm-05",1.8,IF(D48="ac-01",1.06))))))))</f>
        <v>0.12</v>
      </c>
      <c r="G48" s="25">
        <f aca="true" t="shared" si="6" ref="G48:G53">E48*F48</f>
        <v>2.7744</v>
      </c>
      <c r="I48" s="95">
        <f>SUM(G56,H56)</f>
        <v>21.19014</v>
      </c>
      <c r="J48" s="5"/>
    </row>
    <row r="49" spans="1:10" s="1" customFormat="1" ht="15.75">
      <c r="A49" s="174" t="s">
        <v>671</v>
      </c>
      <c r="B49" s="24"/>
      <c r="C49" s="24" t="s">
        <v>357</v>
      </c>
      <c r="D49" s="24" t="s">
        <v>672</v>
      </c>
      <c r="E49" s="3">
        <v>0.047</v>
      </c>
      <c r="F49" s="14">
        <f t="shared" si="5"/>
        <v>18.43</v>
      </c>
      <c r="G49" s="25">
        <f t="shared" si="6"/>
        <v>0.86621</v>
      </c>
      <c r="I49" s="95"/>
      <c r="J49" s="5"/>
    </row>
    <row r="50" spans="1:10" s="1" customFormat="1" ht="15.75">
      <c r="A50" s="174" t="s">
        <v>673</v>
      </c>
      <c r="B50" s="24"/>
      <c r="C50" s="24" t="s">
        <v>357</v>
      </c>
      <c r="D50" s="24" t="s">
        <v>674</v>
      </c>
      <c r="E50" s="3">
        <v>0.047</v>
      </c>
      <c r="F50" s="14">
        <f t="shared" si="5"/>
        <v>28.79</v>
      </c>
      <c r="G50" s="25">
        <f t="shared" si="6"/>
        <v>1.35313</v>
      </c>
      <c r="I50" s="95"/>
      <c r="J50" s="5"/>
    </row>
    <row r="51" spans="1:10" s="1" customFormat="1" ht="15.75">
      <c r="A51" s="174" t="s">
        <v>908</v>
      </c>
      <c r="B51" s="24"/>
      <c r="C51" s="24" t="s">
        <v>634</v>
      </c>
      <c r="D51" s="24" t="s">
        <v>914</v>
      </c>
      <c r="E51" s="3">
        <v>2</v>
      </c>
      <c r="F51" s="14">
        <f t="shared" si="5"/>
        <v>1.8</v>
      </c>
      <c r="G51" s="25">
        <f t="shared" si="6"/>
        <v>3.6</v>
      </c>
      <c r="I51" s="95"/>
      <c r="J51" s="5"/>
    </row>
    <row r="52" spans="1:10" s="1" customFormat="1" ht="15.75">
      <c r="A52" s="174" t="s">
        <v>923</v>
      </c>
      <c r="B52" s="24"/>
      <c r="C52" s="24" t="s">
        <v>574</v>
      </c>
      <c r="D52" s="24" t="s">
        <v>924</v>
      </c>
      <c r="E52" s="3">
        <v>2</v>
      </c>
      <c r="F52" s="14">
        <f t="shared" si="5"/>
        <v>1.8</v>
      </c>
      <c r="G52" s="25">
        <f t="shared" si="6"/>
        <v>3.6</v>
      </c>
      <c r="I52" s="95"/>
      <c r="J52" s="5"/>
    </row>
    <row r="53" spans="1:10" s="1" customFormat="1" ht="15.75">
      <c r="A53" s="174" t="s">
        <v>912</v>
      </c>
      <c r="B53" s="24"/>
      <c r="C53" s="24" t="s">
        <v>294</v>
      </c>
      <c r="D53" s="24" t="s">
        <v>680</v>
      </c>
      <c r="E53" s="3">
        <v>1.1</v>
      </c>
      <c r="F53" s="14">
        <f t="shared" si="5"/>
        <v>1.06</v>
      </c>
      <c r="G53" s="25">
        <f t="shared" si="6"/>
        <v>1.1660000000000001</v>
      </c>
      <c r="I53" s="95"/>
      <c r="J53" s="5"/>
    </row>
    <row r="54" spans="1:10" s="1" customFormat="1" ht="15.75">
      <c r="A54" s="174" t="s">
        <v>289</v>
      </c>
      <c r="B54" s="24"/>
      <c r="C54" s="24" t="s">
        <v>228</v>
      </c>
      <c r="D54" s="24" t="s">
        <v>290</v>
      </c>
      <c r="E54" s="3">
        <v>0.38</v>
      </c>
      <c r="F54" s="14">
        <f>+C120</f>
        <v>6.89</v>
      </c>
      <c r="H54" s="25">
        <f>E54*F54</f>
        <v>2.6182</v>
      </c>
      <c r="I54" s="95"/>
      <c r="J54" s="5"/>
    </row>
    <row r="55" spans="1:10" s="1" customFormat="1" ht="15.75">
      <c r="A55" s="174" t="s">
        <v>227</v>
      </c>
      <c r="B55" s="24"/>
      <c r="C55" s="24" t="s">
        <v>228</v>
      </c>
      <c r="D55" s="24" t="s">
        <v>229</v>
      </c>
      <c r="E55" s="3">
        <v>1.19</v>
      </c>
      <c r="F55" s="14">
        <f>+C121</f>
        <v>4.38</v>
      </c>
      <c r="H55" s="25">
        <f>E55*F55</f>
        <v>5.212199999999999</v>
      </c>
      <c r="I55" s="95"/>
      <c r="J55" s="5"/>
    </row>
    <row r="56" spans="1:10" s="1" customFormat="1" ht="15.75">
      <c r="A56" s="174"/>
      <c r="B56" s="24"/>
      <c r="C56" s="24"/>
      <c r="D56" s="24"/>
      <c r="E56" s="3"/>
      <c r="F56" s="14"/>
      <c r="G56" s="85">
        <f>SUM(G48:G53)</f>
        <v>13.35974</v>
      </c>
      <c r="H56" s="254">
        <f>SUM(H54:H55)</f>
        <v>7.830399999999999</v>
      </c>
      <c r="I56" s="95"/>
      <c r="J56" s="5"/>
    </row>
    <row r="57" spans="1:10" s="1" customFormat="1" ht="15.75">
      <c r="A57" s="173" t="s">
        <v>925</v>
      </c>
      <c r="B57" s="24"/>
      <c r="C57" s="24"/>
      <c r="D57" s="24"/>
      <c r="E57" s="3"/>
      <c r="F57" s="14"/>
      <c r="G57" s="85"/>
      <c r="H57" s="85"/>
      <c r="I57" s="95"/>
      <c r="J57" s="5"/>
    </row>
    <row r="58" spans="1:10" s="1" customFormat="1" ht="15.75">
      <c r="A58" s="172" t="s">
        <v>926</v>
      </c>
      <c r="B58" s="24" t="s">
        <v>389</v>
      </c>
      <c r="C58" s="24" t="s">
        <v>287</v>
      </c>
      <c r="D58" s="24" t="s">
        <v>355</v>
      </c>
      <c r="E58" s="3">
        <v>25.84</v>
      </c>
      <c r="F58" s="14">
        <f aca="true" t="shared" si="7" ref="F58:F63">IF(D58="ag-01",0.12,IF(D58="ar-02",18.43,IF(D58="ar-05",28.79,IF(D58="pm-06",1.8,IF(D58="op-02",4.31,IF(D58="op-01",6.89,IF(D58="pm-07",2.1,IF(D58="ac-01",1.06))))))))</f>
        <v>0.12</v>
      </c>
      <c r="G58" s="25">
        <f aca="true" t="shared" si="8" ref="G58:G63">E58*F58</f>
        <v>3.1008</v>
      </c>
      <c r="I58" s="95">
        <f>SUM(G66,H66)</f>
        <v>22.975659999999998</v>
      </c>
      <c r="J58" s="5"/>
    </row>
    <row r="59" spans="1:10" s="1" customFormat="1" ht="15.75">
      <c r="A59" s="174" t="s">
        <v>671</v>
      </c>
      <c r="B59" s="24"/>
      <c r="C59" s="24" t="s">
        <v>357</v>
      </c>
      <c r="D59" s="24" t="s">
        <v>672</v>
      </c>
      <c r="E59" s="3">
        <v>0.053</v>
      </c>
      <c r="F59" s="14">
        <f t="shared" si="7"/>
        <v>18.43</v>
      </c>
      <c r="G59" s="25">
        <f t="shared" si="8"/>
        <v>0.9767899999999999</v>
      </c>
      <c r="I59" s="95"/>
      <c r="J59" s="5"/>
    </row>
    <row r="60" spans="1:10" s="1" customFormat="1" ht="15.75">
      <c r="A60" s="174" t="s">
        <v>673</v>
      </c>
      <c r="B60" s="24"/>
      <c r="C60" s="24" t="s">
        <v>357</v>
      </c>
      <c r="D60" s="24" t="s">
        <v>674</v>
      </c>
      <c r="E60" s="3">
        <v>0.053</v>
      </c>
      <c r="F60" s="14">
        <f t="shared" si="7"/>
        <v>28.79</v>
      </c>
      <c r="G60" s="25">
        <f t="shared" si="8"/>
        <v>1.5258699999999998</v>
      </c>
      <c r="I60" s="95"/>
      <c r="J60" s="5"/>
    </row>
    <row r="61" spans="1:10" s="1" customFormat="1" ht="15.75">
      <c r="A61" s="174" t="s">
        <v>908</v>
      </c>
      <c r="B61" s="24"/>
      <c r="C61" s="24" t="s">
        <v>634</v>
      </c>
      <c r="D61" s="24" t="s">
        <v>927</v>
      </c>
      <c r="E61" s="3">
        <v>2</v>
      </c>
      <c r="F61" s="14">
        <f t="shared" si="7"/>
        <v>1.8</v>
      </c>
      <c r="G61" s="25">
        <f t="shared" si="8"/>
        <v>3.6</v>
      </c>
      <c r="I61" s="95"/>
      <c r="J61" s="5"/>
    </row>
    <row r="62" spans="1:10" s="1" customFormat="1" ht="15.75">
      <c r="A62" s="174" t="s">
        <v>923</v>
      </c>
      <c r="B62" s="24"/>
      <c r="C62" s="24" t="s">
        <v>574</v>
      </c>
      <c r="D62" s="24" t="s">
        <v>928</v>
      </c>
      <c r="E62" s="3">
        <v>2</v>
      </c>
      <c r="F62" s="14">
        <f t="shared" si="7"/>
        <v>2.1</v>
      </c>
      <c r="G62" s="25">
        <f t="shared" si="8"/>
        <v>4.2</v>
      </c>
      <c r="I62" s="95"/>
      <c r="J62" s="5"/>
    </row>
    <row r="63" spans="1:10" s="1" customFormat="1" ht="15.75">
      <c r="A63" s="174" t="s">
        <v>912</v>
      </c>
      <c r="B63" s="24"/>
      <c r="C63" s="24" t="s">
        <v>294</v>
      </c>
      <c r="D63" s="24" t="s">
        <v>680</v>
      </c>
      <c r="E63" s="3">
        <v>1.1</v>
      </c>
      <c r="F63" s="14">
        <f t="shared" si="7"/>
        <v>1.06</v>
      </c>
      <c r="G63" s="25">
        <f t="shared" si="8"/>
        <v>1.1660000000000001</v>
      </c>
      <c r="I63" s="95"/>
      <c r="J63" s="5"/>
    </row>
    <row r="64" spans="1:10" s="1" customFormat="1" ht="15.75">
      <c r="A64" s="174" t="s">
        <v>289</v>
      </c>
      <c r="B64" s="24"/>
      <c r="C64" s="24" t="s">
        <v>228</v>
      </c>
      <c r="D64" s="24" t="s">
        <v>290</v>
      </c>
      <c r="E64" s="3">
        <v>0.4</v>
      </c>
      <c r="F64" s="14">
        <f>+C120</f>
        <v>6.89</v>
      </c>
      <c r="H64" s="25">
        <f>E64*F64</f>
        <v>2.7560000000000002</v>
      </c>
      <c r="I64" s="95"/>
      <c r="J64" s="5"/>
    </row>
    <row r="65" spans="1:10" s="1" customFormat="1" ht="15.75">
      <c r="A65" s="174" t="s">
        <v>227</v>
      </c>
      <c r="B65" s="24"/>
      <c r="C65" s="24" t="s">
        <v>228</v>
      </c>
      <c r="D65" s="24" t="s">
        <v>229</v>
      </c>
      <c r="E65" s="3">
        <v>1.29</v>
      </c>
      <c r="F65" s="14">
        <f>+C121</f>
        <v>4.38</v>
      </c>
      <c r="H65" s="25">
        <f>E65*F65</f>
        <v>5.6502</v>
      </c>
      <c r="I65" s="95"/>
      <c r="J65" s="5"/>
    </row>
    <row r="66" spans="1:10" ht="16.5" thickBot="1">
      <c r="A66" s="90"/>
      <c r="B66" s="28"/>
      <c r="C66" s="28"/>
      <c r="D66" s="28"/>
      <c r="E66" s="8"/>
      <c r="F66" s="10"/>
      <c r="G66" s="252">
        <f>SUM(G58:G63)</f>
        <v>14.56946</v>
      </c>
      <c r="H66" s="252">
        <f>SUM(H64:H65)</f>
        <v>8.4062</v>
      </c>
      <c r="I66" s="88"/>
      <c r="J66" s="11"/>
    </row>
    <row r="67" spans="1:10" ht="16.5" thickTop="1">
      <c r="A67" s="168">
        <v>12.3</v>
      </c>
      <c r="B67" s="69"/>
      <c r="C67" s="69"/>
      <c r="D67" s="69"/>
      <c r="E67" s="70"/>
      <c r="F67" s="84"/>
      <c r="G67" s="115"/>
      <c r="H67" s="115"/>
      <c r="I67" s="89"/>
      <c r="J67" s="71"/>
    </row>
    <row r="68" spans="1:10" s="1" customFormat="1" ht="15.75">
      <c r="A68" s="173" t="s">
        <v>929</v>
      </c>
      <c r="B68" s="24"/>
      <c r="C68" s="24"/>
      <c r="D68" s="24"/>
      <c r="E68" s="3"/>
      <c r="F68" s="14"/>
      <c r="G68" s="85"/>
      <c r="H68" s="85"/>
      <c r="I68" s="95"/>
      <c r="J68" s="5"/>
    </row>
    <row r="69" spans="1:10" s="1" customFormat="1" ht="15.75">
      <c r="A69" s="173" t="s">
        <v>930</v>
      </c>
      <c r="B69" s="24"/>
      <c r="C69" s="24"/>
      <c r="D69" s="24"/>
      <c r="E69" s="3"/>
      <c r="F69" s="14"/>
      <c r="G69" s="85"/>
      <c r="H69" s="85"/>
      <c r="I69" s="95"/>
      <c r="J69" s="5"/>
    </row>
    <row r="70" spans="1:10" s="1" customFormat="1" ht="15.75">
      <c r="A70" s="173" t="s">
        <v>931</v>
      </c>
      <c r="B70" s="24"/>
      <c r="C70" s="24"/>
      <c r="D70" s="24"/>
      <c r="E70" s="3"/>
      <c r="F70" s="14"/>
      <c r="G70" s="85"/>
      <c r="H70" s="85"/>
      <c r="I70" s="95"/>
      <c r="J70" s="5"/>
    </row>
    <row r="71" spans="1:10" s="1" customFormat="1" ht="15.75">
      <c r="A71" s="174" t="s">
        <v>624</v>
      </c>
      <c r="B71" s="24"/>
      <c r="C71" s="24" t="s">
        <v>287</v>
      </c>
      <c r="D71" s="24" t="s">
        <v>355</v>
      </c>
      <c r="E71" s="3">
        <v>6.33</v>
      </c>
      <c r="F71" s="14">
        <f>IF(D71="ag-01",0.12,IF(D71="ar-03",12.0343,IF(D71="ar-05",28.79,IF(D71="pm-06",1.8,IF(D71="op-02",4.31,IF(D71="op-01",6.89,IF(D71="pm-08",5.7,IF(D71="ac-01",1.06))))))))</f>
        <v>0.12</v>
      </c>
      <c r="G71" s="25">
        <f>E71*F71</f>
        <v>0.7595999999999999</v>
      </c>
      <c r="I71" s="95">
        <f>SUM(G71:H75)</f>
        <v>24.214979999999997</v>
      </c>
      <c r="J71" s="5"/>
    </row>
    <row r="72" spans="1:10" s="1" customFormat="1" ht="15.75">
      <c r="A72" s="174" t="s">
        <v>865</v>
      </c>
      <c r="B72" s="24"/>
      <c r="C72" s="24" t="s">
        <v>357</v>
      </c>
      <c r="D72" s="24" t="s">
        <v>560</v>
      </c>
      <c r="E72" s="3">
        <v>0.016</v>
      </c>
      <c r="F72" s="14">
        <f>IF(D72="ag-01",0.12,IF(D72="ar-03",12.03,IF(D72="ar-05",28.79,IF(D72="pm-06",1.8,IF(D72="op-02",4.31,IF(D72="op-01",6.89,IF(D72="pm-08",5.7,IF(D72="ac-01",1.06))))))))</f>
        <v>12.03</v>
      </c>
      <c r="G72" s="25">
        <f>E72*F72</f>
        <v>0.19247999999999998</v>
      </c>
      <c r="I72" s="95"/>
      <c r="J72" s="5"/>
    </row>
    <row r="73" spans="1:10" s="1" customFormat="1" ht="15.75">
      <c r="A73" s="174" t="s">
        <v>932</v>
      </c>
      <c r="B73" s="24"/>
      <c r="C73" s="24" t="s">
        <v>294</v>
      </c>
      <c r="D73" s="24" t="s">
        <v>933</v>
      </c>
      <c r="E73" s="3">
        <v>1</v>
      </c>
      <c r="F73" s="14">
        <v>19</v>
      </c>
      <c r="G73" s="25">
        <f>E73*F73</f>
        <v>19</v>
      </c>
      <c r="I73" s="95"/>
      <c r="J73" s="5"/>
    </row>
    <row r="74" spans="1:10" s="1" customFormat="1" ht="15.75">
      <c r="A74" s="174" t="s">
        <v>289</v>
      </c>
      <c r="B74" s="24"/>
      <c r="C74" s="24" t="s">
        <v>228</v>
      </c>
      <c r="D74" s="24" t="s">
        <v>290</v>
      </c>
      <c r="E74" s="3">
        <v>0.25</v>
      </c>
      <c r="F74" s="14">
        <f>+C120</f>
        <v>6.89</v>
      </c>
      <c r="H74" s="25">
        <f>E74*F74</f>
        <v>1.7225</v>
      </c>
      <c r="I74" s="95"/>
      <c r="J74" s="5"/>
    </row>
    <row r="75" spans="1:10" s="1" customFormat="1" ht="15.75">
      <c r="A75" s="174" t="s">
        <v>227</v>
      </c>
      <c r="B75" s="24"/>
      <c r="C75" s="24" t="s">
        <v>228</v>
      </c>
      <c r="D75" s="24" t="s">
        <v>229</v>
      </c>
      <c r="E75" s="3">
        <v>0.58</v>
      </c>
      <c r="F75" s="14">
        <f>+C121</f>
        <v>4.38</v>
      </c>
      <c r="H75" s="25">
        <f>E75*F75</f>
        <v>2.5403999999999995</v>
      </c>
      <c r="I75" s="95"/>
      <c r="J75" s="5"/>
    </row>
    <row r="76" spans="1:10" ht="16.5" thickBot="1">
      <c r="A76" s="90"/>
      <c r="B76" s="72"/>
      <c r="C76" s="28"/>
      <c r="D76" s="28"/>
      <c r="E76" s="8"/>
      <c r="F76" s="73"/>
      <c r="G76" s="252">
        <f>SUM(G71:G73)</f>
        <v>19.95208</v>
      </c>
      <c r="H76" s="252">
        <f>SUM(H74:H75)</f>
        <v>4.262899999999999</v>
      </c>
      <c r="I76" s="88"/>
      <c r="J76" s="11"/>
    </row>
    <row r="77" spans="1:10" ht="16.5" thickTop="1">
      <c r="A77" s="168">
        <v>12.4</v>
      </c>
      <c r="B77" s="113"/>
      <c r="C77" s="69"/>
      <c r="D77" s="69"/>
      <c r="E77" s="70"/>
      <c r="F77" s="139"/>
      <c r="G77" s="115"/>
      <c r="H77" s="115"/>
      <c r="I77" s="89"/>
      <c r="J77" s="71"/>
    </row>
    <row r="78" spans="1:10" s="1" customFormat="1" ht="15.75">
      <c r="A78" s="173" t="s">
        <v>934</v>
      </c>
      <c r="B78" s="24"/>
      <c r="C78" s="24"/>
      <c r="D78" s="24"/>
      <c r="E78" s="3"/>
      <c r="F78" s="14"/>
      <c r="G78" s="85"/>
      <c r="H78" s="85"/>
      <c r="I78" s="95"/>
      <c r="J78" s="5"/>
    </row>
    <row r="79" spans="1:10" s="1" customFormat="1" ht="15.75">
      <c r="A79" s="173" t="s">
        <v>935</v>
      </c>
      <c r="B79" s="24"/>
      <c r="C79" s="24"/>
      <c r="D79" s="24"/>
      <c r="E79" s="3"/>
      <c r="F79" s="14"/>
      <c r="G79" s="85"/>
      <c r="H79" s="85"/>
      <c r="I79" s="95"/>
      <c r="J79" s="5"/>
    </row>
    <row r="80" spans="1:10" s="1" customFormat="1" ht="15.75">
      <c r="A80" s="173" t="s">
        <v>936</v>
      </c>
      <c r="B80" s="24"/>
      <c r="C80" s="24"/>
      <c r="D80" s="24"/>
      <c r="E80" s="3"/>
      <c r="F80" s="14"/>
      <c r="G80" s="85"/>
      <c r="H80" s="85"/>
      <c r="I80" s="95"/>
      <c r="J80" s="5"/>
    </row>
    <row r="81" spans="1:10" s="1" customFormat="1" ht="15.75">
      <c r="A81" s="173" t="s">
        <v>937</v>
      </c>
      <c r="B81" s="24"/>
      <c r="C81" s="24"/>
      <c r="D81" s="24"/>
      <c r="E81" s="3"/>
      <c r="F81" s="14"/>
      <c r="G81" s="85"/>
      <c r="H81" s="85"/>
      <c r="I81" s="95"/>
      <c r="J81" s="5"/>
    </row>
    <row r="82" spans="1:10" s="1" customFormat="1" ht="15.75">
      <c r="A82" s="174" t="s">
        <v>624</v>
      </c>
      <c r="B82" s="24"/>
      <c r="C82" s="24" t="s">
        <v>287</v>
      </c>
      <c r="D82" s="24" t="s">
        <v>355</v>
      </c>
      <c r="E82" s="3">
        <v>14</v>
      </c>
      <c r="F82" s="14">
        <f>IF(D82="ag-01",0.12,IF(D82="ar-02",18.43,IF(D82="ar-05",28.79,IF(D82="pm-06",1.8,IF(D82="op-02",4.31,IF(D82="op-01",6.89,IF(D82="pm-08",5.7,IF(D82="ac-01",1.06))))))))</f>
        <v>0.12</v>
      </c>
      <c r="G82" s="25">
        <f>E82*F82</f>
        <v>1.68</v>
      </c>
      <c r="I82" s="95">
        <f>SUM(G82:H87)</f>
        <v>6.01808</v>
      </c>
      <c r="J82" s="5"/>
    </row>
    <row r="83" spans="1:10" s="1" customFormat="1" ht="15.75">
      <c r="A83" s="174" t="s">
        <v>671</v>
      </c>
      <c r="B83" s="24"/>
      <c r="C83" s="24" t="s">
        <v>357</v>
      </c>
      <c r="D83" s="24" t="s">
        <v>672</v>
      </c>
      <c r="E83" s="3">
        <v>0.029</v>
      </c>
      <c r="F83" s="14">
        <f>IF(D83="ag-01",0.12,IF(D83="ar-02",18.43,IF(D83="ar-05",28.79,IF(D83="pm-06",1.8,IF(D83="op-02",4.31,IF(D83="op-01",6.89,IF(D83="pm-08",5.7,IF(D83="ac-01",1.06))))))))</f>
        <v>18.43</v>
      </c>
      <c r="G83" s="25">
        <f>E83*F83</f>
        <v>0.53447</v>
      </c>
      <c r="I83" s="95"/>
      <c r="J83" s="5"/>
    </row>
    <row r="84" spans="1:10" s="1" customFormat="1" ht="15.75">
      <c r="A84" s="174" t="s">
        <v>673</v>
      </c>
      <c r="B84" s="24"/>
      <c r="C84" s="24" t="s">
        <v>357</v>
      </c>
      <c r="D84" s="24" t="s">
        <v>674</v>
      </c>
      <c r="E84" s="3">
        <v>0.029</v>
      </c>
      <c r="F84" s="14">
        <f>IF(D84="ag-01",0.12,IF(D84="ar-02",18.43,IF(D84="ar-05",28.79,IF(D84="pm-06",1.8,IF(D84="op-02",4.31,IF(D84="op-01",6.89,IF(D84="pm-08",5.7,IF(D84="ac-01",1.06))))))))</f>
        <v>28.79</v>
      </c>
      <c r="G84" s="25">
        <f>E84*F84</f>
        <v>0.83491</v>
      </c>
      <c r="I84" s="95"/>
      <c r="J84" s="5"/>
    </row>
    <row r="85" spans="1:10" s="1" customFormat="1" ht="15.75">
      <c r="A85" s="174" t="s">
        <v>912</v>
      </c>
      <c r="B85" s="24"/>
      <c r="C85" s="24" t="s">
        <v>294</v>
      </c>
      <c r="D85" s="24" t="s">
        <v>680</v>
      </c>
      <c r="E85" s="3">
        <v>1.1</v>
      </c>
      <c r="F85" s="14">
        <f>IF(D85="ag-01",0.12,IF(D85="ar-02",18.43,IF(D85="ar-05",28.79,IF(D85="pm-06",1.8,IF(D85="op-02",4.31,IF(D85="op-01",6.89,IF(D85="pm-08",5.7,IF(D85="ac-01",1.06))))))))</f>
        <v>1.06</v>
      </c>
      <c r="G85" s="25">
        <f>E85*F85</f>
        <v>1.1660000000000001</v>
      </c>
      <c r="I85" s="95"/>
      <c r="J85" s="5"/>
    </row>
    <row r="86" spans="1:10" s="1" customFormat="1" ht="15.75">
      <c r="A86" s="174" t="s">
        <v>289</v>
      </c>
      <c r="B86" s="24"/>
      <c r="C86" s="24" t="s">
        <v>228</v>
      </c>
      <c r="D86" s="24" t="s">
        <v>290</v>
      </c>
      <c r="E86" s="3">
        <v>0.09</v>
      </c>
      <c r="F86" s="14">
        <f>+C120</f>
        <v>6.89</v>
      </c>
      <c r="G86" s="4"/>
      <c r="H86" s="25">
        <f>E86*F86</f>
        <v>0.6201</v>
      </c>
      <c r="I86" s="95"/>
      <c r="J86" s="5"/>
    </row>
    <row r="87" spans="1:10" s="1" customFormat="1" ht="15.75">
      <c r="A87" s="174" t="s">
        <v>227</v>
      </c>
      <c r="B87" s="24"/>
      <c r="C87" s="24" t="s">
        <v>228</v>
      </c>
      <c r="D87" s="24" t="s">
        <v>229</v>
      </c>
      <c r="E87" s="3">
        <v>0.27</v>
      </c>
      <c r="F87" s="14">
        <f>+C121</f>
        <v>4.38</v>
      </c>
      <c r="H87" s="25">
        <f>E87*F87</f>
        <v>1.1826</v>
      </c>
      <c r="I87" s="95"/>
      <c r="J87" s="5"/>
    </row>
    <row r="88" spans="1:10" ht="16.5" thickBot="1">
      <c r="A88" s="90"/>
      <c r="B88" s="72"/>
      <c r="C88" s="28"/>
      <c r="D88" s="28"/>
      <c r="E88" s="8"/>
      <c r="F88" s="73"/>
      <c r="G88" s="252">
        <f>SUM(G82:G85)</f>
        <v>4.215380000000001</v>
      </c>
      <c r="H88" s="252">
        <f>SUM(H86:H87)</f>
        <v>1.8027000000000002</v>
      </c>
      <c r="I88" s="88"/>
      <c r="J88" s="11"/>
    </row>
    <row r="89" spans="1:10" ht="16.5" thickTop="1">
      <c r="A89" s="168">
        <v>12.5</v>
      </c>
      <c r="B89" s="113"/>
      <c r="C89" s="69"/>
      <c r="D89" s="69"/>
      <c r="E89" s="70"/>
      <c r="F89" s="139"/>
      <c r="G89" s="115"/>
      <c r="H89" s="115"/>
      <c r="I89" s="89"/>
      <c r="J89" s="71"/>
    </row>
    <row r="90" spans="1:10" s="1" customFormat="1" ht="15.75">
      <c r="A90" s="173" t="s">
        <v>938</v>
      </c>
      <c r="B90" s="24"/>
      <c r="C90" s="24"/>
      <c r="D90" s="24"/>
      <c r="E90" s="3"/>
      <c r="F90" s="14"/>
      <c r="G90" s="85"/>
      <c r="H90" s="85"/>
      <c r="I90" s="95"/>
      <c r="J90" s="5"/>
    </row>
    <row r="91" spans="1:10" s="1" customFormat="1" ht="15.75">
      <c r="A91" s="173" t="s">
        <v>939</v>
      </c>
      <c r="B91" s="24"/>
      <c r="C91" s="24"/>
      <c r="D91" s="24"/>
      <c r="E91" s="3"/>
      <c r="F91" s="14"/>
      <c r="G91" s="85"/>
      <c r="H91" s="85"/>
      <c r="I91" s="95"/>
      <c r="J91" s="5"/>
    </row>
    <row r="92" spans="1:10" s="1" customFormat="1" ht="15.75">
      <c r="A92" s="173" t="s">
        <v>940</v>
      </c>
      <c r="B92" s="24"/>
      <c r="C92" s="24"/>
      <c r="D92" s="24"/>
      <c r="E92" s="3"/>
      <c r="F92" s="14"/>
      <c r="G92" s="85"/>
      <c r="H92" s="85"/>
      <c r="I92" s="95"/>
      <c r="J92" s="5"/>
    </row>
    <row r="93" spans="1:10" s="1" customFormat="1" ht="15.75">
      <c r="A93" s="173" t="s">
        <v>941</v>
      </c>
      <c r="B93" s="24"/>
      <c r="C93" s="24"/>
      <c r="D93" s="24"/>
      <c r="E93" s="3"/>
      <c r="F93" s="14"/>
      <c r="G93" s="85"/>
      <c r="H93" s="85"/>
      <c r="I93" s="95"/>
      <c r="J93" s="5"/>
    </row>
    <row r="94" spans="1:10" s="1" customFormat="1" ht="15.75">
      <c r="A94" s="172" t="s">
        <v>942</v>
      </c>
      <c r="B94" s="24" t="s">
        <v>387</v>
      </c>
      <c r="C94" s="24" t="s">
        <v>287</v>
      </c>
      <c r="D94" s="24" t="s">
        <v>355</v>
      </c>
      <c r="E94" s="3">
        <v>2.36</v>
      </c>
      <c r="F94" s="14">
        <f>IF(D94="ag-01",0.12,IF(D94="ar-03",12.03,IF(D94="ar-05",28.79,IF(D94="pm-06",1.8,IF(D94="op-02",4.31,IF(D94="op-01",6.89,IF(D94="pm-08",5.7,IF(D94="ac-01",1.06))))))))</f>
        <v>0.12</v>
      </c>
      <c r="G94" s="25">
        <f>E94*F94</f>
        <v>0.28319999999999995</v>
      </c>
      <c r="I94" s="95">
        <f>SUM(G98,H98)</f>
        <v>0.6590299999999999</v>
      </c>
      <c r="J94" s="5"/>
    </row>
    <row r="95" spans="1:10" s="1" customFormat="1" ht="15.75">
      <c r="A95" s="174" t="s">
        <v>865</v>
      </c>
      <c r="B95" s="24"/>
      <c r="C95" s="24" t="s">
        <v>357</v>
      </c>
      <c r="D95" s="24" t="s">
        <v>560</v>
      </c>
      <c r="E95" s="3">
        <v>0.006</v>
      </c>
      <c r="F95" s="14">
        <f>IF(D95="ag-01",0.12,IF(D95="ar-03",12.03,IF(D95="ar-05",28.79,IF(D95="pm-06",1.8,IF(D95="op-02",4.31,IF(D95="op-01",6.89,IF(D95="pm-08",5.7,IF(D95="ac-01",1.06))))))))</f>
        <v>12.03</v>
      </c>
      <c r="G95" s="25">
        <f>E95*F95</f>
        <v>0.07218</v>
      </c>
      <c r="I95" s="95"/>
      <c r="J95" s="5"/>
    </row>
    <row r="96" spans="1:10" s="1" customFormat="1" ht="15.75">
      <c r="A96" s="174" t="s">
        <v>289</v>
      </c>
      <c r="B96" s="24"/>
      <c r="C96" s="24" t="s">
        <v>228</v>
      </c>
      <c r="D96" s="24" t="s">
        <v>290</v>
      </c>
      <c r="E96" s="3">
        <v>0.025</v>
      </c>
      <c r="F96" s="14">
        <f>+C120</f>
        <v>6.89</v>
      </c>
      <c r="H96" s="25">
        <f>E96*F96</f>
        <v>0.17225000000000001</v>
      </c>
      <c r="I96" s="95"/>
      <c r="J96" s="5"/>
    </row>
    <row r="97" spans="1:10" s="1" customFormat="1" ht="15.75">
      <c r="A97" s="174" t="s">
        <v>227</v>
      </c>
      <c r="B97" s="24"/>
      <c r="C97" s="24" t="s">
        <v>228</v>
      </c>
      <c r="D97" s="24" t="s">
        <v>229</v>
      </c>
      <c r="E97" s="3">
        <v>0.03</v>
      </c>
      <c r="F97" s="14">
        <f>+C121</f>
        <v>4.38</v>
      </c>
      <c r="H97" s="25">
        <f>E97*F97</f>
        <v>0.1314</v>
      </c>
      <c r="I97" s="95"/>
      <c r="J97" s="5"/>
    </row>
    <row r="98" spans="1:10" s="1" customFormat="1" ht="15.75">
      <c r="A98" s="174"/>
      <c r="B98" s="24"/>
      <c r="C98" s="24"/>
      <c r="D98" s="24"/>
      <c r="E98" s="3"/>
      <c r="F98" s="14"/>
      <c r="G98" s="254">
        <f>SUM(G94:G95)</f>
        <v>0.3553799999999999</v>
      </c>
      <c r="H98" s="254">
        <f>SUM(H96:H97)</f>
        <v>0.30365</v>
      </c>
      <c r="I98" s="95"/>
      <c r="J98" s="5"/>
    </row>
    <row r="99" spans="1:10" s="1" customFormat="1" ht="15.75">
      <c r="A99" s="173" t="s">
        <v>943</v>
      </c>
      <c r="B99" s="24"/>
      <c r="C99" s="24"/>
      <c r="D99" s="24"/>
      <c r="E99" s="3"/>
      <c r="F99" s="14"/>
      <c r="G99" s="85"/>
      <c r="H99" s="85"/>
      <c r="I99" s="95"/>
      <c r="J99" s="5"/>
    </row>
    <row r="100" spans="1:10" s="1" customFormat="1" ht="15.75">
      <c r="A100" s="172" t="s">
        <v>944</v>
      </c>
      <c r="B100" s="24" t="s">
        <v>389</v>
      </c>
      <c r="C100" s="24" t="s">
        <v>287</v>
      </c>
      <c r="D100" s="24" t="s">
        <v>355</v>
      </c>
      <c r="E100" s="3">
        <v>3.45</v>
      </c>
      <c r="F100" s="14">
        <f>IF(D100="ag-01",0.12,IF(D100="ar-03",12.03,IF(D100="ar-05",28.79,IF(D100="pm-06",1.8,IF(D100="op-02",4.31,IF(D100="op-01",6.89,IF(D100="pm-08",5.7,IF(D100="ac-01",1.06))))))))</f>
        <v>0.12</v>
      </c>
      <c r="G100" s="25">
        <f>E100*F100</f>
        <v>0.414</v>
      </c>
      <c r="I100" s="95">
        <f>SUM(G104,H104)</f>
        <v>0.87024</v>
      </c>
      <c r="J100" s="5"/>
    </row>
    <row r="101" spans="1:10" s="1" customFormat="1" ht="15.75">
      <c r="A101" s="174" t="s">
        <v>865</v>
      </c>
      <c r="B101" s="24"/>
      <c r="C101" s="24" t="s">
        <v>357</v>
      </c>
      <c r="D101" s="24" t="s">
        <v>560</v>
      </c>
      <c r="E101" s="3">
        <v>0.008</v>
      </c>
      <c r="F101" s="14">
        <f>IF(D101="ag-01",0.12,IF(D101="ar-03",12.03,IF(D101="ar-05",28.79,IF(D101="pm-06",1.8,IF(D101="op-02",4.31,IF(D101="op-01",6.89,IF(D101="pm-08",5.7,IF(D101="ac-01",1.06))))))))</f>
        <v>12.03</v>
      </c>
      <c r="G101" s="25">
        <f>E101*F101</f>
        <v>0.09623999999999999</v>
      </c>
      <c r="I101" s="95"/>
      <c r="J101" s="5"/>
    </row>
    <row r="102" spans="1:10" s="1" customFormat="1" ht="15.75">
      <c r="A102" s="174" t="s">
        <v>289</v>
      </c>
      <c r="B102" s="24"/>
      <c r="C102" s="24" t="s">
        <v>228</v>
      </c>
      <c r="D102" s="24" t="s">
        <v>290</v>
      </c>
      <c r="E102" s="3">
        <v>0.03</v>
      </c>
      <c r="F102" s="14">
        <f>+C120</f>
        <v>6.89</v>
      </c>
      <c r="H102" s="25">
        <f>E102*F102</f>
        <v>0.2067</v>
      </c>
      <c r="I102" s="95"/>
      <c r="J102" s="5"/>
    </row>
    <row r="103" spans="1:10" ht="15.75">
      <c r="A103" s="174" t="s">
        <v>227</v>
      </c>
      <c r="B103" s="49"/>
      <c r="C103" s="49" t="s">
        <v>228</v>
      </c>
      <c r="D103" s="49" t="s">
        <v>229</v>
      </c>
      <c r="E103" s="50">
        <v>0.035</v>
      </c>
      <c r="F103" s="46">
        <f>+C121</f>
        <v>4.38</v>
      </c>
      <c r="G103" s="45"/>
      <c r="H103" s="38">
        <f>E103*F103</f>
        <v>0.15330000000000002</v>
      </c>
      <c r="I103" s="89"/>
      <c r="J103" s="51"/>
    </row>
    <row r="104" spans="1:10" ht="16.5" thickBot="1">
      <c r="A104" s="90"/>
      <c r="B104" s="28"/>
      <c r="C104" s="28"/>
      <c r="D104" s="28"/>
      <c r="E104" s="8"/>
      <c r="F104" s="10"/>
      <c r="G104" s="252">
        <f>SUM(G100:G101)</f>
        <v>0.51024</v>
      </c>
      <c r="H104" s="252">
        <f>SUM(H102:H103)</f>
        <v>0.36</v>
      </c>
      <c r="I104" s="88"/>
      <c r="J104" s="11"/>
    </row>
    <row r="105" spans="1:10" ht="16.5" thickTop="1">
      <c r="A105" s="177">
        <v>12.6</v>
      </c>
      <c r="B105" s="69"/>
      <c r="C105" s="69"/>
      <c r="D105" s="69"/>
      <c r="E105" s="70"/>
      <c r="F105" s="84"/>
      <c r="G105" s="115"/>
      <c r="H105" s="115"/>
      <c r="I105" s="89"/>
      <c r="J105" s="71"/>
    </row>
    <row r="106" spans="1:10" s="1" customFormat="1" ht="15.75">
      <c r="A106" s="173" t="s">
        <v>945</v>
      </c>
      <c r="B106" s="24"/>
      <c r="C106" s="24"/>
      <c r="D106" s="24"/>
      <c r="E106" s="3"/>
      <c r="F106" s="14"/>
      <c r="G106" s="85"/>
      <c r="H106" s="85"/>
      <c r="I106" s="95"/>
      <c r="J106" s="5"/>
    </row>
    <row r="107" spans="1:10" s="1" customFormat="1" ht="15.75">
      <c r="A107" s="173" t="s">
        <v>946</v>
      </c>
      <c r="B107" s="24"/>
      <c r="C107" s="24"/>
      <c r="D107" s="24"/>
      <c r="E107" s="3"/>
      <c r="F107" s="14"/>
      <c r="G107" s="85"/>
      <c r="H107" s="85"/>
      <c r="I107" s="95"/>
      <c r="J107" s="5"/>
    </row>
    <row r="108" spans="1:10" s="1" customFormat="1" ht="15.75">
      <c r="A108" s="173" t="s">
        <v>727</v>
      </c>
      <c r="B108" s="24"/>
      <c r="C108" s="24"/>
      <c r="D108" s="24"/>
      <c r="E108" s="3"/>
      <c r="F108" s="14"/>
      <c r="G108" s="85"/>
      <c r="H108" s="85"/>
      <c r="I108" s="95"/>
      <c r="J108" s="5"/>
    </row>
    <row r="109" spans="1:10" s="1" customFormat="1" ht="15.75">
      <c r="A109" s="172" t="s">
        <v>947</v>
      </c>
      <c r="B109" s="24" t="s">
        <v>387</v>
      </c>
      <c r="C109" s="24" t="s">
        <v>287</v>
      </c>
      <c r="D109" s="24" t="s">
        <v>948</v>
      </c>
      <c r="E109" s="3">
        <v>18</v>
      </c>
      <c r="F109" s="14">
        <f>IF(D109="ac-07",0.52,IF(D109="ac-08",0.52,IF(D109="op-02",4.31,IF(D109="op-01",6.89))))</f>
        <v>0.52</v>
      </c>
      <c r="G109" s="25">
        <f>E109*F109</f>
        <v>9.36</v>
      </c>
      <c r="I109" s="95">
        <f>SUM(G112,H112)</f>
        <v>10.31795</v>
      </c>
      <c r="J109" s="5"/>
    </row>
    <row r="110" spans="1:10" s="1" customFormat="1" ht="15.75">
      <c r="A110" s="174" t="s">
        <v>289</v>
      </c>
      <c r="B110" s="24"/>
      <c r="C110" s="24" t="s">
        <v>228</v>
      </c>
      <c r="D110" s="24" t="s">
        <v>290</v>
      </c>
      <c r="E110" s="3">
        <v>0.085</v>
      </c>
      <c r="F110" s="14">
        <f>+C120</f>
        <v>6.89</v>
      </c>
      <c r="H110" s="25">
        <f>E110*F110</f>
        <v>0.58565</v>
      </c>
      <c r="I110" s="95"/>
      <c r="J110" s="5"/>
    </row>
    <row r="111" spans="1:10" s="1" customFormat="1" ht="15.75">
      <c r="A111" s="174" t="s">
        <v>227</v>
      </c>
      <c r="B111" s="24"/>
      <c r="C111" s="24" t="s">
        <v>228</v>
      </c>
      <c r="D111" s="24" t="s">
        <v>229</v>
      </c>
      <c r="E111" s="3">
        <v>0.085</v>
      </c>
      <c r="F111" s="14">
        <f>+C121</f>
        <v>4.38</v>
      </c>
      <c r="H111" s="25">
        <f>E111*F111</f>
        <v>0.3723</v>
      </c>
      <c r="I111" s="95"/>
      <c r="J111" s="5"/>
    </row>
    <row r="112" spans="1:10" s="1" customFormat="1" ht="15.75">
      <c r="A112" s="174"/>
      <c r="B112" s="24"/>
      <c r="C112" s="24"/>
      <c r="D112" s="24"/>
      <c r="E112" s="3"/>
      <c r="F112" s="14"/>
      <c r="G112" s="85">
        <f>E109*F109</f>
        <v>9.36</v>
      </c>
      <c r="H112" s="254">
        <f>SUM(H110:H111)</f>
        <v>0.9579500000000001</v>
      </c>
      <c r="I112" s="95"/>
      <c r="J112" s="5"/>
    </row>
    <row r="113" spans="1:10" s="1" customFormat="1" ht="15.75">
      <c r="A113" s="172" t="s">
        <v>949</v>
      </c>
      <c r="B113" s="24" t="s">
        <v>389</v>
      </c>
      <c r="C113" s="24" t="s">
        <v>287</v>
      </c>
      <c r="D113" s="24" t="s">
        <v>950</v>
      </c>
      <c r="E113" s="3">
        <v>26.5</v>
      </c>
      <c r="F113" s="14">
        <f>IF(D113="ac-07",0.52,IF(D113="ac-08",0.52,IF(D113="op-02",4.31,IF(D113="op-01",6.89))))</f>
        <v>0.52</v>
      </c>
      <c r="G113" s="25">
        <f>E113*F113</f>
        <v>13.780000000000001</v>
      </c>
      <c r="I113" s="95">
        <f>SUM(G116,H116)</f>
        <v>15.736250000000002</v>
      </c>
      <c r="J113" s="5"/>
    </row>
    <row r="114" spans="1:10" s="1" customFormat="1" ht="15.75">
      <c r="A114" s="174" t="s">
        <v>289</v>
      </c>
      <c r="B114" s="24"/>
      <c r="C114" s="24" t="s">
        <v>228</v>
      </c>
      <c r="D114" s="24" t="s">
        <v>290</v>
      </c>
      <c r="E114" s="3">
        <v>0.125</v>
      </c>
      <c r="F114" s="14">
        <f>+C120</f>
        <v>6.89</v>
      </c>
      <c r="H114" s="25">
        <f>E114*F114</f>
        <v>0.86125</v>
      </c>
      <c r="I114" s="95"/>
      <c r="J114" s="5"/>
    </row>
    <row r="115" spans="1:10" s="1" customFormat="1" ht="15.75">
      <c r="A115" s="174" t="s">
        <v>227</v>
      </c>
      <c r="B115" s="24"/>
      <c r="C115" s="24" t="s">
        <v>228</v>
      </c>
      <c r="D115" s="24" t="s">
        <v>229</v>
      </c>
      <c r="E115" s="3">
        <v>0.25</v>
      </c>
      <c r="F115" s="14">
        <f>+C121</f>
        <v>4.38</v>
      </c>
      <c r="H115" s="25">
        <f>E115*F115</f>
        <v>1.095</v>
      </c>
      <c r="I115" s="95"/>
      <c r="J115" s="5"/>
    </row>
    <row r="116" spans="1:10" ht="16.5" thickBot="1">
      <c r="A116" s="91"/>
      <c r="B116" s="45"/>
      <c r="C116" s="45"/>
      <c r="D116" s="45"/>
      <c r="E116" s="45"/>
      <c r="F116" s="45"/>
      <c r="G116" s="66">
        <f>E113*F113</f>
        <v>13.780000000000001</v>
      </c>
      <c r="H116" s="253">
        <f>SUM(H114:H115)</f>
        <v>1.9562499999999998</v>
      </c>
      <c r="I116" s="92"/>
      <c r="J116" s="51"/>
    </row>
    <row r="117" spans="1:10" ht="13.5" thickTop="1">
      <c r="A117" s="81"/>
      <c r="B117" s="81"/>
      <c r="C117" s="81"/>
      <c r="D117" s="81"/>
      <c r="E117" s="81"/>
      <c r="F117" s="81"/>
      <c r="G117" s="21"/>
      <c r="H117" s="21"/>
      <c r="I117" s="81"/>
      <c r="J117" s="81"/>
    </row>
    <row r="120" spans="2:3" ht="15.75">
      <c r="B120" s="301" t="s">
        <v>290</v>
      </c>
      <c r="C120" s="40">
        <v>6.89</v>
      </c>
    </row>
    <row r="121" spans="2:3" ht="15.75">
      <c r="B121" s="301" t="s">
        <v>229</v>
      </c>
      <c r="C121" s="40">
        <v>4.38</v>
      </c>
    </row>
  </sheetData>
  <printOptions/>
  <pageMargins left="0.037401575" right="0.037401575" top="1" bottom="1" header="0.511811023622047" footer="0.511811023622047"/>
  <pageSetup horizontalDpi="300" verticalDpi="300" orientation="landscape" paperSize="5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144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40" sqref="C140"/>
    </sheetView>
  </sheetViews>
  <sheetFormatPr defaultColWidth="11.421875" defaultRowHeight="12.75"/>
  <cols>
    <col min="1" max="1" width="53.57421875" style="0" customWidth="1"/>
    <col min="2" max="2" width="5.57421875" style="0" customWidth="1"/>
    <col min="3" max="4" width="8.7109375" style="0" customWidth="1"/>
    <col min="5" max="6" width="9.8515625" style="0" customWidth="1"/>
    <col min="7" max="7" width="10.28125" style="0" customWidth="1"/>
    <col min="8" max="8" width="9.7109375" style="0" customWidth="1"/>
    <col min="9" max="9" width="10.57421875" style="0" customWidth="1"/>
    <col min="10" max="10" width="85.28125" style="0" customWidth="1"/>
    <col min="11" max="54" width="11.421875" style="21" customWidth="1"/>
  </cols>
  <sheetData>
    <row r="1" spans="1:10" ht="17.25" thickBot="1" thickTop="1">
      <c r="A1" s="275" t="s">
        <v>951</v>
      </c>
      <c r="B1" s="276"/>
      <c r="C1" s="276"/>
      <c r="D1" s="276"/>
      <c r="E1" s="276"/>
      <c r="F1" s="276"/>
      <c r="G1" s="276"/>
      <c r="H1" s="276"/>
      <c r="I1" s="283"/>
      <c r="J1" s="284"/>
    </row>
    <row r="2" spans="1:54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1:10" ht="16.5" thickTop="1">
      <c r="A3" s="178">
        <v>13.1</v>
      </c>
      <c r="B3" s="124"/>
      <c r="C3" s="124"/>
      <c r="D3" s="141"/>
      <c r="E3" s="141"/>
      <c r="F3" s="141"/>
      <c r="G3" s="124"/>
      <c r="H3" s="141"/>
      <c r="I3" s="124"/>
      <c r="J3" s="169"/>
    </row>
    <row r="4" spans="1:54" s="1" customFormat="1" ht="15.75">
      <c r="A4" s="173" t="s">
        <v>952</v>
      </c>
      <c r="B4" s="125"/>
      <c r="C4" s="125"/>
      <c r="D4" s="126"/>
      <c r="E4" s="126"/>
      <c r="F4" s="126"/>
      <c r="G4" s="125"/>
      <c r="H4" s="126"/>
      <c r="I4" s="125"/>
      <c r="J4" s="15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s="1" customFormat="1" ht="15.75">
      <c r="A5" s="179" t="s">
        <v>953</v>
      </c>
      <c r="B5" s="125"/>
      <c r="C5" s="125"/>
      <c r="D5" s="126"/>
      <c r="E5" s="126"/>
      <c r="F5" s="126"/>
      <c r="G5" s="125"/>
      <c r="H5" s="126"/>
      <c r="I5" s="125"/>
      <c r="J5" s="15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s="1" customFormat="1" ht="15.75">
      <c r="A6" s="179" t="s">
        <v>954</v>
      </c>
      <c r="B6" s="125"/>
      <c r="C6" s="125"/>
      <c r="D6" s="126"/>
      <c r="E6" s="126"/>
      <c r="F6" s="126"/>
      <c r="G6" s="125"/>
      <c r="H6" s="126"/>
      <c r="I6" s="125"/>
      <c r="J6" s="15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s="1" customFormat="1" ht="15.75">
      <c r="A7" s="173" t="s">
        <v>955</v>
      </c>
      <c r="B7" s="24" t="s">
        <v>387</v>
      </c>
      <c r="C7" s="24" t="s">
        <v>287</v>
      </c>
      <c r="D7" s="24" t="s">
        <v>355</v>
      </c>
      <c r="E7" s="3">
        <v>5.64</v>
      </c>
      <c r="F7" s="14">
        <f>IF(D7="ag-01",0.12,IF(D7="ag-02",0.09,IF(D7="ar-03",12.03,IF(D7="ar-06",15,IF(D7="op-02",4.31,IF(D7="op-01",6.89))))))</f>
        <v>0.12</v>
      </c>
      <c r="G7" s="25">
        <f>E7*F7</f>
        <v>0.6768</v>
      </c>
      <c r="I7" s="95">
        <f>SUM(G13,H13)</f>
        <v>8.784489999999998</v>
      </c>
      <c r="J7" s="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s="1" customFormat="1" ht="15.75">
      <c r="A8" s="174" t="s">
        <v>557</v>
      </c>
      <c r="B8" s="24"/>
      <c r="C8" s="24" t="s">
        <v>287</v>
      </c>
      <c r="D8" s="24" t="s">
        <v>377</v>
      </c>
      <c r="E8" s="3">
        <v>9.84</v>
      </c>
      <c r="F8" s="14">
        <f>IF(D8="ag-01",0.12,IF(D8="ag-02",0.09,IF(D8="ar-03",12.03,IF(D8="ar-06",15,IF(D8="op-02",4.31,IF(D8="op-01",6.89))))))</f>
        <v>0.09</v>
      </c>
      <c r="G8" s="25">
        <f>E8*F8</f>
        <v>0.8855999999999999</v>
      </c>
      <c r="I8" s="95"/>
      <c r="J8" s="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s="1" customFormat="1" ht="15.75">
      <c r="A9" s="174" t="s">
        <v>559</v>
      </c>
      <c r="B9" s="24"/>
      <c r="C9" s="24" t="s">
        <v>357</v>
      </c>
      <c r="D9" s="24" t="s">
        <v>560</v>
      </c>
      <c r="E9" s="3">
        <v>0.053</v>
      </c>
      <c r="F9" s="14">
        <f>IF(D9="ag-01",0.12,IF(D9="ag-02",0.09,IF(D9="ar-03",12.03,IF(D9="ar-06",15,IF(D9="op-02",4.31,IF(D9="op-01",6.89))))))</f>
        <v>12.03</v>
      </c>
      <c r="G9" s="25">
        <f>E9*F9</f>
        <v>0.63759</v>
      </c>
      <c r="I9" s="95"/>
      <c r="J9" s="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s="1" customFormat="1" ht="15.75">
      <c r="A10" s="174" t="s">
        <v>562</v>
      </c>
      <c r="B10" s="24"/>
      <c r="C10" s="24" t="s">
        <v>357</v>
      </c>
      <c r="D10" s="24" t="s">
        <v>563</v>
      </c>
      <c r="E10" s="3">
        <v>0.103</v>
      </c>
      <c r="F10" s="14">
        <f>IF(D10="ag-01",0.12,IF(D10="ag-02",0.09,IF(D10="ar-03",12.03,IF(D10="ar-06",15,IF(D10="op-02",4.31,IF(D10="op-01",6.89))))))</f>
        <v>15</v>
      </c>
      <c r="G10" s="25">
        <f>E10*F10</f>
        <v>1.545</v>
      </c>
      <c r="I10" s="95"/>
      <c r="J10" s="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s="1" customFormat="1" ht="15.75">
      <c r="A11" s="174" t="s">
        <v>289</v>
      </c>
      <c r="B11" s="24"/>
      <c r="C11" s="24" t="s">
        <v>228</v>
      </c>
      <c r="D11" s="24" t="s">
        <v>290</v>
      </c>
      <c r="E11" s="3">
        <v>0.35</v>
      </c>
      <c r="F11" s="14">
        <f>+C138</f>
        <v>6.89</v>
      </c>
      <c r="H11" s="25">
        <f>E11*F11</f>
        <v>2.4114999999999998</v>
      </c>
      <c r="I11" s="95"/>
      <c r="J11" s="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s="1" customFormat="1" ht="15.75">
      <c r="A12" s="174" t="s">
        <v>227</v>
      </c>
      <c r="B12" s="24"/>
      <c r="C12" s="24" t="s">
        <v>228</v>
      </c>
      <c r="D12" s="24" t="s">
        <v>229</v>
      </c>
      <c r="E12" s="3">
        <v>0.6</v>
      </c>
      <c r="F12" s="14">
        <f>+C139</f>
        <v>4.38</v>
      </c>
      <c r="H12" s="25">
        <f>E12*F12</f>
        <v>2.6279999999999997</v>
      </c>
      <c r="I12" s="95"/>
      <c r="J12" s="5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s="1" customFormat="1" ht="15.75">
      <c r="A13" s="174"/>
      <c r="B13" s="24"/>
      <c r="C13" s="24"/>
      <c r="D13" s="24"/>
      <c r="E13" s="3"/>
      <c r="F13" s="14"/>
      <c r="G13" s="258">
        <f>SUM(G7:G10)</f>
        <v>3.7449899999999996</v>
      </c>
      <c r="H13" s="258">
        <f>SUM(H11:H12)</f>
        <v>5.039499999999999</v>
      </c>
      <c r="I13" s="95"/>
      <c r="J13" s="5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4" s="1" customFormat="1" ht="15.75">
      <c r="A14" s="172" t="s">
        <v>956</v>
      </c>
      <c r="B14" s="24" t="s">
        <v>389</v>
      </c>
      <c r="C14" s="24" t="s">
        <v>287</v>
      </c>
      <c r="D14" s="24" t="s">
        <v>355</v>
      </c>
      <c r="E14" s="3">
        <v>9.4</v>
      </c>
      <c r="F14" s="14">
        <f>IF(D14="ag-01",0.12,IF(D14="ag-02",0.09,IF(D14="ar-03",12.03,IF(D14="ar-06",15,IF(D14="op-02",4.31,IF(D14="op-01",6.89))))))</f>
        <v>0.12</v>
      </c>
      <c r="G14" s="25">
        <f>E14*F14</f>
        <v>1.128</v>
      </c>
      <c r="I14" s="95">
        <f>SUM(G20,H20)</f>
        <v>14.472439999999999</v>
      </c>
      <c r="J14" s="5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s="1" customFormat="1" ht="15.75">
      <c r="A15" s="174" t="s">
        <v>557</v>
      </c>
      <c r="B15" s="24"/>
      <c r="C15" s="24" t="s">
        <v>287</v>
      </c>
      <c r="D15" s="24" t="s">
        <v>377</v>
      </c>
      <c r="E15" s="3">
        <v>16.4</v>
      </c>
      <c r="F15" s="14">
        <f>IF(D15="ag-01",0.12,IF(D15="ag-02",0.09,IF(D15="ar-03",12.03,IF(D15="ar-06",15,IF(D15="op-02",4.31,IF(D15="op-01",6.89))))))</f>
        <v>0.09</v>
      </c>
      <c r="G15" s="25">
        <f>E15*F15</f>
        <v>1.4759999999999998</v>
      </c>
      <c r="I15" s="95"/>
      <c r="J15" s="5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s="1" customFormat="1" ht="15.75">
      <c r="A16" s="174" t="s">
        <v>559</v>
      </c>
      <c r="B16" s="24"/>
      <c r="C16" s="24" t="s">
        <v>357</v>
      </c>
      <c r="D16" s="24" t="s">
        <v>560</v>
      </c>
      <c r="E16" s="3">
        <v>0.088</v>
      </c>
      <c r="F16" s="14">
        <f>IF(D16="ag-01",0.12,IF(D16="ag-02",0.09,IF(D16="ar-03",12.03,IF(D16="ar-06",15,IF(D16="op-02",4.31,IF(D16="op-01",6.89))))))</f>
        <v>12.03</v>
      </c>
      <c r="G16" s="25">
        <f>E16*F16</f>
        <v>1.0586399999999998</v>
      </c>
      <c r="I16" s="95"/>
      <c r="J16" s="5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s="1" customFormat="1" ht="15.75">
      <c r="A17" s="174" t="s">
        <v>562</v>
      </c>
      <c r="B17" s="24"/>
      <c r="C17" s="24" t="s">
        <v>357</v>
      </c>
      <c r="D17" s="24" t="s">
        <v>563</v>
      </c>
      <c r="E17" s="3">
        <v>0.171</v>
      </c>
      <c r="F17" s="14">
        <f>IF(D17="ag-01",0.12,IF(D17="ag-02",0.09,IF(D17="ar-03",12.03,IF(D17="ar-06",15,IF(D17="op-02",4.31,IF(D17="op-01",6.89))))))</f>
        <v>15</v>
      </c>
      <c r="G17" s="25">
        <f>E17*F17</f>
        <v>2.5650000000000004</v>
      </c>
      <c r="I17" s="95"/>
      <c r="J17" s="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4" s="1" customFormat="1" ht="15.75">
      <c r="A18" s="174" t="s">
        <v>289</v>
      </c>
      <c r="B18" s="24"/>
      <c r="C18" s="24" t="s">
        <v>228</v>
      </c>
      <c r="D18" s="24" t="s">
        <v>290</v>
      </c>
      <c r="E18" s="3">
        <v>0.58</v>
      </c>
      <c r="F18" s="14">
        <f>+C138</f>
        <v>6.89</v>
      </c>
      <c r="H18" s="25">
        <f>E18*F18</f>
        <v>3.9961999999999995</v>
      </c>
      <c r="I18" s="95"/>
      <c r="J18" s="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s="1" customFormat="1" ht="15.75">
      <c r="A19" s="174" t="s">
        <v>227</v>
      </c>
      <c r="B19" s="24"/>
      <c r="C19" s="24" t="s">
        <v>228</v>
      </c>
      <c r="D19" s="24" t="s">
        <v>229</v>
      </c>
      <c r="E19" s="3">
        <v>0.97</v>
      </c>
      <c r="F19" s="14">
        <f>+C139</f>
        <v>4.38</v>
      </c>
      <c r="H19" s="25">
        <f>E19*F19</f>
        <v>4.2486</v>
      </c>
      <c r="I19" s="95"/>
      <c r="J19" s="5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10" ht="16.5" thickBot="1">
      <c r="A20" s="90"/>
      <c r="B20" s="28"/>
      <c r="C20" s="28"/>
      <c r="D20" s="28"/>
      <c r="E20" s="8"/>
      <c r="F20" s="10"/>
      <c r="G20" s="259">
        <f>SUM(G14:G17)</f>
        <v>6.22764</v>
      </c>
      <c r="H20" s="259">
        <f>SUM(H18:H19)</f>
        <v>8.2448</v>
      </c>
      <c r="I20" s="88"/>
      <c r="J20" s="11"/>
    </row>
    <row r="21" spans="1:10" ht="16.5" thickTop="1">
      <c r="A21" s="168">
        <v>13.2</v>
      </c>
      <c r="B21" s="69"/>
      <c r="C21" s="69"/>
      <c r="D21" s="69"/>
      <c r="E21" s="70"/>
      <c r="F21" s="84"/>
      <c r="G21" s="202"/>
      <c r="H21" s="202"/>
      <c r="I21" s="89"/>
      <c r="J21" s="71"/>
    </row>
    <row r="22" spans="1:10" ht="15.75">
      <c r="A22" s="173" t="s">
        <v>957</v>
      </c>
      <c r="B22" s="24"/>
      <c r="C22" s="24"/>
      <c r="D22" s="24"/>
      <c r="E22" s="3"/>
      <c r="F22" s="14"/>
      <c r="G22" s="76"/>
      <c r="H22" s="76"/>
      <c r="I22" s="95"/>
      <c r="J22" s="5"/>
    </row>
    <row r="23" spans="1:10" ht="15.75">
      <c r="A23" s="173" t="s">
        <v>958</v>
      </c>
      <c r="B23" s="24"/>
      <c r="C23" s="24"/>
      <c r="D23" s="24"/>
      <c r="E23" s="3"/>
      <c r="F23" s="14"/>
      <c r="G23" s="76"/>
      <c r="H23" s="76"/>
      <c r="I23" s="95"/>
      <c r="J23" s="5"/>
    </row>
    <row r="24" spans="1:10" ht="15.75">
      <c r="A24" s="173" t="s">
        <v>959</v>
      </c>
      <c r="B24" s="24"/>
      <c r="C24" s="24"/>
      <c r="D24" s="24"/>
      <c r="E24" s="3"/>
      <c r="F24" s="14"/>
      <c r="G24" s="76"/>
      <c r="H24" s="76"/>
      <c r="I24" s="95"/>
      <c r="J24" s="5"/>
    </row>
    <row r="25" spans="1:10" ht="15.75">
      <c r="A25" s="173" t="s">
        <v>960</v>
      </c>
      <c r="B25" s="24"/>
      <c r="C25" s="24"/>
      <c r="D25" s="24"/>
      <c r="E25" s="3"/>
      <c r="F25" s="14"/>
      <c r="G25" s="76"/>
      <c r="H25" s="76"/>
      <c r="I25" s="95"/>
      <c r="J25" s="5"/>
    </row>
    <row r="26" spans="1:10" ht="15.75">
      <c r="A26" s="174" t="s">
        <v>624</v>
      </c>
      <c r="B26" s="24"/>
      <c r="C26" s="24" t="s">
        <v>287</v>
      </c>
      <c r="D26" s="24" t="s">
        <v>355</v>
      </c>
      <c r="E26" s="3">
        <v>16.47</v>
      </c>
      <c r="F26" s="14">
        <f>IF(D26="ag-01",0.12,IF(D26="ag-02",0.09,IF(D26="ar-03",12.03,IF(D26="ar-06",15,IF(D26="op-02",4.31,IF(D26="op-01",6.89))))))</f>
        <v>0.12</v>
      </c>
      <c r="G26" s="25">
        <f>E26*F26</f>
        <v>1.9763999999999997</v>
      </c>
      <c r="H26" s="1"/>
      <c r="I26" s="95">
        <f>SUM(G26:H31)</f>
        <v>9.86116</v>
      </c>
      <c r="J26" s="5"/>
    </row>
    <row r="27" spans="1:10" ht="15.75">
      <c r="A27" s="174" t="s">
        <v>557</v>
      </c>
      <c r="B27" s="24"/>
      <c r="C27" s="24" t="s">
        <v>287</v>
      </c>
      <c r="D27" s="24" t="s">
        <v>377</v>
      </c>
      <c r="E27" s="3">
        <v>7.33</v>
      </c>
      <c r="F27" s="14">
        <f>IF(D27="ag-01",0.12,IF(D27="ag-02",0.09,IF(D27="ar-03",12.03,IF(D27="ar-06",15,IF(D27="op-02",4.31,IF(D27="op-01",6.89))))))</f>
        <v>0.09</v>
      </c>
      <c r="G27" s="25">
        <f>E27*F27</f>
        <v>0.6597</v>
      </c>
      <c r="H27" s="1"/>
      <c r="I27" s="95"/>
      <c r="J27" s="5"/>
    </row>
    <row r="28" spans="1:10" ht="15.75">
      <c r="A28" s="174" t="s">
        <v>559</v>
      </c>
      <c r="B28" s="24"/>
      <c r="C28" s="24" t="s">
        <v>634</v>
      </c>
      <c r="D28" s="24" t="s">
        <v>560</v>
      </c>
      <c r="E28" s="3">
        <v>0.052</v>
      </c>
      <c r="F28" s="14">
        <f>IF(D28="ag-01",0.12,IF(D28="ag-02",0.09,IF(D28="ar-03",12.03,IF(D28="ar-06",15,IF(D28="op-02",4.31,IF(D28="op-01",6.89))))))</f>
        <v>12.03</v>
      </c>
      <c r="G28" s="25">
        <f>E28*F28</f>
        <v>0.6255599999999999</v>
      </c>
      <c r="H28" s="1"/>
      <c r="I28" s="95"/>
      <c r="J28" s="5"/>
    </row>
    <row r="29" spans="1:10" ht="15.75">
      <c r="A29" s="174" t="s">
        <v>562</v>
      </c>
      <c r="B29" s="24"/>
      <c r="C29" s="24" t="s">
        <v>634</v>
      </c>
      <c r="D29" s="24" t="s">
        <v>563</v>
      </c>
      <c r="E29" s="3">
        <v>0.104</v>
      </c>
      <c r="F29" s="14">
        <f>IF(D29="ag-01",0.12,IF(D29="ag-02",0.09,IF(D29="ar-03",12.03,IF(D29="ar-06",15,IF(D29="op-02",4.31,IF(D29="op-01",6.89))))))</f>
        <v>15</v>
      </c>
      <c r="G29" s="39">
        <f>E29*F29</f>
        <v>1.5599999999999998</v>
      </c>
      <c r="H29" s="1"/>
      <c r="I29" s="95"/>
      <c r="J29" s="5"/>
    </row>
    <row r="30" spans="1:10" ht="15.75">
      <c r="A30" s="174" t="s">
        <v>289</v>
      </c>
      <c r="B30" s="24"/>
      <c r="C30" s="24" t="s">
        <v>228</v>
      </c>
      <c r="D30" s="24" t="s">
        <v>290</v>
      </c>
      <c r="E30" s="3">
        <v>0.35</v>
      </c>
      <c r="F30" s="14">
        <f>+C138</f>
        <v>6.89</v>
      </c>
      <c r="G30" s="1"/>
      <c r="H30" s="25">
        <f>E30*F30</f>
        <v>2.4114999999999998</v>
      </c>
      <c r="I30" s="95"/>
      <c r="J30" s="5"/>
    </row>
    <row r="31" spans="1:10" ht="15.75">
      <c r="A31" s="174" t="s">
        <v>227</v>
      </c>
      <c r="B31" s="49"/>
      <c r="C31" s="49" t="s">
        <v>228</v>
      </c>
      <c r="D31" s="49" t="s">
        <v>229</v>
      </c>
      <c r="E31" s="50">
        <v>0.6</v>
      </c>
      <c r="F31" s="46">
        <f>+C139</f>
        <v>4.38</v>
      </c>
      <c r="G31" s="45"/>
      <c r="H31" s="38">
        <f>E31*F31</f>
        <v>2.6279999999999997</v>
      </c>
      <c r="I31" s="95"/>
      <c r="J31" s="51"/>
    </row>
    <row r="32" spans="1:10" ht="16.5" thickBot="1">
      <c r="A32" s="90"/>
      <c r="B32" s="72"/>
      <c r="C32" s="28"/>
      <c r="D32" s="28"/>
      <c r="E32" s="8"/>
      <c r="F32" s="73"/>
      <c r="G32" s="252">
        <f>SUM(G26:G29)</f>
        <v>4.82166</v>
      </c>
      <c r="H32" s="252">
        <f>SUM(H30:H31)</f>
        <v>5.039499999999999</v>
      </c>
      <c r="I32" s="88"/>
      <c r="J32" s="11"/>
    </row>
    <row r="33" spans="1:10" ht="16.5" thickTop="1">
      <c r="A33" s="168">
        <v>13.3</v>
      </c>
      <c r="B33" s="113"/>
      <c r="C33" s="69"/>
      <c r="D33" s="69"/>
      <c r="E33" s="70"/>
      <c r="F33" s="139"/>
      <c r="G33" s="115"/>
      <c r="H33" s="115"/>
      <c r="I33" s="89"/>
      <c r="J33" s="71"/>
    </row>
    <row r="34" spans="1:54" s="1" customFormat="1" ht="15.75">
      <c r="A34" s="173" t="s">
        <v>961</v>
      </c>
      <c r="B34" s="24"/>
      <c r="C34" s="24"/>
      <c r="D34" s="24"/>
      <c r="E34" s="3"/>
      <c r="F34" s="14"/>
      <c r="G34" s="85"/>
      <c r="H34" s="85"/>
      <c r="I34" s="95"/>
      <c r="J34" s="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s="1" customFormat="1" ht="15.75">
      <c r="A35" s="173" t="s">
        <v>962</v>
      </c>
      <c r="B35" s="24"/>
      <c r="C35" s="24"/>
      <c r="D35" s="24"/>
      <c r="E35" s="3"/>
      <c r="F35" s="14"/>
      <c r="G35" s="85"/>
      <c r="H35" s="85"/>
      <c r="I35" s="95"/>
      <c r="J35" s="5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s="1" customFormat="1" ht="15.75">
      <c r="A36" s="173" t="s">
        <v>459</v>
      </c>
      <c r="B36" s="24"/>
      <c r="C36" s="24"/>
      <c r="D36" s="24"/>
      <c r="E36" s="3"/>
      <c r="F36" s="14"/>
      <c r="G36" s="85"/>
      <c r="H36" s="85"/>
      <c r="I36" s="95"/>
      <c r="J36" s="5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s="1" customFormat="1" ht="15.75">
      <c r="A37" s="173" t="s">
        <v>963</v>
      </c>
      <c r="B37" s="24"/>
      <c r="C37" s="24"/>
      <c r="D37" s="24"/>
      <c r="E37" s="3"/>
      <c r="F37" s="14"/>
      <c r="G37" s="85"/>
      <c r="H37" s="85"/>
      <c r="I37" s="95"/>
      <c r="J37" s="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s="1" customFormat="1" ht="15.75">
      <c r="A38" s="174" t="s">
        <v>624</v>
      </c>
      <c r="B38" s="24" t="s">
        <v>387</v>
      </c>
      <c r="C38" s="24" t="s">
        <v>287</v>
      </c>
      <c r="D38" s="24" t="s">
        <v>355</v>
      </c>
      <c r="E38" s="3">
        <v>4.7</v>
      </c>
      <c r="F38" s="14">
        <f>IF(D38="ag-01",0.12,IF(D38="ag-02",0.09,IF(D38="ar-03",12.03,IF(D38="ar-06",15,IF(D38="op-02",4.31,IF(D38="op-01",6.89,IF(D38="ar-09",44)))))))</f>
        <v>0.12</v>
      </c>
      <c r="G38" s="25">
        <f>E38*F38</f>
        <v>0.564</v>
      </c>
      <c r="I38" s="95">
        <f>SUM(G44,H44)</f>
        <v>10.05702</v>
      </c>
      <c r="J38" s="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s="1" customFormat="1" ht="15.75">
      <c r="A39" s="174" t="s">
        <v>557</v>
      </c>
      <c r="B39" s="24"/>
      <c r="C39" s="24" t="s">
        <v>287</v>
      </c>
      <c r="D39" s="24" t="s">
        <v>377</v>
      </c>
      <c r="E39" s="3">
        <v>8.2</v>
      </c>
      <c r="F39" s="14">
        <f>IF(D39="ag-01",0.12,IF(D39="ag-02",0.09,IF(D39="ar-03",12.03,IF(D39="ar-06",15,IF(D39="op-02",4.31,IF(D39="op-01",6.89,IF(D39="ar-09",44)))))))</f>
        <v>0.09</v>
      </c>
      <c r="G39" s="25">
        <f>E39*F39</f>
        <v>0.7379999999999999</v>
      </c>
      <c r="I39" s="95"/>
      <c r="J39" s="5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s="1" customFormat="1" ht="15.75">
      <c r="A40" s="174" t="s">
        <v>559</v>
      </c>
      <c r="B40" s="24"/>
      <c r="C40" s="24" t="s">
        <v>357</v>
      </c>
      <c r="D40" s="24" t="s">
        <v>560</v>
      </c>
      <c r="E40" s="3">
        <v>0.044</v>
      </c>
      <c r="F40" s="14">
        <f>IF(D40="ag-01",0.12,IF(D40="ag-02",0.09,IF(D40="ar-03",12.03,IF(D40="ar-06",15,IF(D40="op-02",4.31,IF(D40="op-01",6.89,IF(D40="ar-09",44)))))))</f>
        <v>12.03</v>
      </c>
      <c r="G40" s="25">
        <f>E40*F40</f>
        <v>0.5293199999999999</v>
      </c>
      <c r="I40" s="95"/>
      <c r="J40" s="5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s="1" customFormat="1" ht="15.75">
      <c r="A41" s="174" t="s">
        <v>562</v>
      </c>
      <c r="B41" s="24"/>
      <c r="C41" s="24" t="s">
        <v>357</v>
      </c>
      <c r="D41" s="24" t="s">
        <v>563</v>
      </c>
      <c r="E41" s="3">
        <v>0.086</v>
      </c>
      <c r="F41" s="14">
        <f>IF(D41="ag-01",0.12,IF(D41="ag-02",0.09,IF(D41="ar-03",12.03,IF(D41="ar-06",15,IF(D41="op-02",4.31,IF(D41="op-01",6.89,IF(D41="ar-09",44)))))))</f>
        <v>15</v>
      </c>
      <c r="G41" s="25">
        <f>E41*F41</f>
        <v>1.2899999999999998</v>
      </c>
      <c r="I41" s="95"/>
      <c r="J41" s="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s="1" customFormat="1" ht="15.75">
      <c r="A42" s="174" t="s">
        <v>289</v>
      </c>
      <c r="B42" s="24"/>
      <c r="C42" s="24" t="s">
        <v>228</v>
      </c>
      <c r="D42" s="24" t="s">
        <v>290</v>
      </c>
      <c r="E42" s="3">
        <v>0.39</v>
      </c>
      <c r="F42" s="14">
        <f>+C138</f>
        <v>6.89</v>
      </c>
      <c r="H42" s="25">
        <f>E42*F42</f>
        <v>2.6871</v>
      </c>
      <c r="I42" s="95"/>
      <c r="J42" s="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54" s="1" customFormat="1" ht="15.75">
      <c r="A43" s="174" t="s">
        <v>227</v>
      </c>
      <c r="B43" s="24"/>
      <c r="C43" s="24" t="s">
        <v>228</v>
      </c>
      <c r="D43" s="24" t="s">
        <v>229</v>
      </c>
      <c r="E43" s="3">
        <v>0.97</v>
      </c>
      <c r="F43" s="14">
        <f>+C139</f>
        <v>4.38</v>
      </c>
      <c r="H43" s="25">
        <f>E43*F43</f>
        <v>4.2486</v>
      </c>
      <c r="I43" s="95"/>
      <c r="J43" s="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</row>
    <row r="44" spans="1:54" s="1" customFormat="1" ht="15.75">
      <c r="A44" s="174"/>
      <c r="B44" s="24"/>
      <c r="C44" s="24"/>
      <c r="D44" s="24"/>
      <c r="E44" s="3"/>
      <c r="F44" s="14"/>
      <c r="G44" s="258">
        <f>SUM(G38:G41)</f>
        <v>3.12132</v>
      </c>
      <c r="H44" s="258">
        <f>SUM(H42:H43)</f>
        <v>6.9357</v>
      </c>
      <c r="I44" s="95"/>
      <c r="J44" s="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54" s="1" customFormat="1" ht="15.75">
      <c r="A45" s="173" t="s">
        <v>964</v>
      </c>
      <c r="B45" s="24"/>
      <c r="C45" s="24"/>
      <c r="D45" s="24"/>
      <c r="E45" s="3"/>
      <c r="F45" s="14"/>
      <c r="G45" s="76"/>
      <c r="H45" s="76"/>
      <c r="I45" s="95"/>
      <c r="J45" s="5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54" s="1" customFormat="1" ht="15.75">
      <c r="A46" s="174" t="s">
        <v>624</v>
      </c>
      <c r="B46" s="24" t="s">
        <v>389</v>
      </c>
      <c r="C46" s="24" t="s">
        <v>287</v>
      </c>
      <c r="D46" s="24" t="s">
        <v>355</v>
      </c>
      <c r="E46" s="3">
        <v>18</v>
      </c>
      <c r="F46" s="14">
        <f>IF(D46="ag-01",0.12,IF(D46="ag-02",0.09,IF(D46="ar-03",12.03,IF(D46="ar-06",15,IF(D46="op-02",4.31,IF(D46="op-01",6.89,IF(D46="ar-09",44)))))))</f>
        <v>0.12</v>
      </c>
      <c r="G46" s="25">
        <f>E46*F46</f>
        <v>2.16</v>
      </c>
      <c r="I46" s="95">
        <f>SUM(G50,H50)</f>
        <v>13.7157</v>
      </c>
      <c r="J46" s="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54" s="1" customFormat="1" ht="15.75">
      <c r="A47" s="174" t="s">
        <v>965</v>
      </c>
      <c r="B47" s="24"/>
      <c r="C47" s="24" t="s">
        <v>357</v>
      </c>
      <c r="D47" s="24" t="s">
        <v>966</v>
      </c>
      <c r="E47" s="3">
        <v>0.105</v>
      </c>
      <c r="F47" s="14">
        <f>IF(D47="ag-01",0.12,IF(D47="ag-02",0.09,IF(D47="ar-03",12.03,IF(D47="ar-06",15,IF(D47="op-02",4.31,IF(D47="op-01",6.89,IF(D47="ar-09",44)))))))</f>
        <v>44</v>
      </c>
      <c r="G47" s="25">
        <f>E47*F47</f>
        <v>4.62</v>
      </c>
      <c r="I47" s="95"/>
      <c r="J47" s="5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54" s="1" customFormat="1" ht="15.75">
      <c r="A48" s="174" t="s">
        <v>289</v>
      </c>
      <c r="B48" s="24"/>
      <c r="C48" s="24" t="s">
        <v>228</v>
      </c>
      <c r="D48" s="24" t="s">
        <v>290</v>
      </c>
      <c r="E48" s="3">
        <v>0.39</v>
      </c>
      <c r="F48" s="14">
        <f>+C138</f>
        <v>6.89</v>
      </c>
      <c r="H48" s="25">
        <f>E48*F48</f>
        <v>2.6871</v>
      </c>
      <c r="I48" s="95"/>
      <c r="J48" s="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1:54" s="1" customFormat="1" ht="15.75">
      <c r="A49" s="174" t="s">
        <v>227</v>
      </c>
      <c r="B49" s="24"/>
      <c r="C49" s="24" t="s">
        <v>228</v>
      </c>
      <c r="D49" s="24" t="s">
        <v>229</v>
      </c>
      <c r="E49" s="3">
        <v>0.97</v>
      </c>
      <c r="F49" s="14">
        <f>+C139</f>
        <v>4.38</v>
      </c>
      <c r="H49" s="25">
        <f>E49*F49</f>
        <v>4.2486</v>
      </c>
      <c r="I49" s="95"/>
      <c r="J49" s="5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10" ht="16.5" thickBot="1">
      <c r="A50" s="90"/>
      <c r="B50" s="28"/>
      <c r="C50" s="28"/>
      <c r="D50" s="28"/>
      <c r="E50" s="8"/>
      <c r="F50" s="10"/>
      <c r="G50" s="212">
        <f>SUM(G46:G47)</f>
        <v>6.78</v>
      </c>
      <c r="H50" s="259">
        <f>SUM(H48:H49)</f>
        <v>6.9357</v>
      </c>
      <c r="I50" s="88"/>
      <c r="J50" s="11"/>
    </row>
    <row r="51" spans="1:10" ht="16.5" thickTop="1">
      <c r="A51" s="177">
        <v>13.4</v>
      </c>
      <c r="B51" s="24"/>
      <c r="C51" s="24"/>
      <c r="D51" s="24"/>
      <c r="E51" s="3"/>
      <c r="F51" s="14"/>
      <c r="G51" s="76"/>
      <c r="H51" s="76"/>
      <c r="I51" s="95"/>
      <c r="J51" s="5"/>
    </row>
    <row r="52" spans="1:10" ht="15.75">
      <c r="A52" s="173" t="s">
        <v>967</v>
      </c>
      <c r="B52" s="24"/>
      <c r="C52" s="24"/>
      <c r="D52" s="24"/>
      <c r="E52" s="3"/>
      <c r="F52" s="14"/>
      <c r="G52" s="76"/>
      <c r="H52" s="76"/>
      <c r="I52" s="95"/>
      <c r="J52" s="5"/>
    </row>
    <row r="53" spans="1:54" s="1" customFormat="1" ht="15.75">
      <c r="A53" s="173" t="s">
        <v>968</v>
      </c>
      <c r="B53" s="24"/>
      <c r="C53" s="24"/>
      <c r="D53" s="24"/>
      <c r="E53" s="3"/>
      <c r="F53" s="14"/>
      <c r="G53" s="76"/>
      <c r="H53" s="76"/>
      <c r="I53" s="95"/>
      <c r="J53" s="5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</row>
    <row r="54" spans="1:54" s="1" customFormat="1" ht="15.75">
      <c r="A54" s="173" t="s">
        <v>969</v>
      </c>
      <c r="B54" s="24"/>
      <c r="C54" s="24"/>
      <c r="D54" s="24"/>
      <c r="E54" s="3"/>
      <c r="F54" s="14"/>
      <c r="G54" s="76"/>
      <c r="H54" s="76"/>
      <c r="I54" s="95"/>
      <c r="J54" s="5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</row>
    <row r="55" spans="1:54" s="1" customFormat="1" ht="15.75">
      <c r="A55" s="173" t="s">
        <v>963</v>
      </c>
      <c r="B55" s="24"/>
      <c r="C55" s="24"/>
      <c r="D55" s="24"/>
      <c r="E55" s="3"/>
      <c r="F55" s="14"/>
      <c r="G55" s="76"/>
      <c r="H55" s="76"/>
      <c r="I55" s="95"/>
      <c r="J55" s="5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</row>
    <row r="56" spans="1:54" s="1" customFormat="1" ht="15.75">
      <c r="A56" s="174" t="s">
        <v>624</v>
      </c>
      <c r="B56" s="24" t="s">
        <v>387</v>
      </c>
      <c r="C56" s="24" t="s">
        <v>287</v>
      </c>
      <c r="D56" s="24" t="s">
        <v>355</v>
      </c>
      <c r="E56" s="3">
        <v>8.46</v>
      </c>
      <c r="F56" s="14">
        <f>IF(D56="ag-01",0.12,IF(D56="ag-02",0.09,IF(D56="ar-03",12.03,IF(D56="ar-06",15,IF(D56="op-02",4.31,IF(D56="op-01",6.89,IF(D56="ar-09",44)))))))</f>
        <v>0.12</v>
      </c>
      <c r="G56" s="25">
        <f>E56*F56</f>
        <v>1.0152</v>
      </c>
      <c r="I56" s="95">
        <f>SUM(G62,H62)</f>
        <v>12.58447</v>
      </c>
      <c r="J56" s="5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</row>
    <row r="57" spans="1:54" s="1" customFormat="1" ht="15.75">
      <c r="A57" s="174" t="s">
        <v>557</v>
      </c>
      <c r="B57" s="24"/>
      <c r="C57" s="24" t="s">
        <v>287</v>
      </c>
      <c r="D57" s="24" t="s">
        <v>377</v>
      </c>
      <c r="E57" s="3">
        <v>14.76</v>
      </c>
      <c r="F57" s="14">
        <f>IF(D57="ag-01",0.12,IF(D57="ag-02",0.09,IF(D57="ar-03",12.03,IF(D57="ar-06",15,IF(D57="op-02",4.31,IF(D57="op-01",6.89,IF(D57="ar-09",44)))))))</f>
        <v>0.09</v>
      </c>
      <c r="G57" s="25">
        <f>E57*F57</f>
        <v>1.3284</v>
      </c>
      <c r="I57" s="95"/>
      <c r="J57" s="5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</row>
    <row r="58" spans="1:10" ht="15.75">
      <c r="A58" s="174" t="s">
        <v>559</v>
      </c>
      <c r="B58" s="24"/>
      <c r="C58" s="24" t="s">
        <v>357</v>
      </c>
      <c r="D58" s="24" t="s">
        <v>560</v>
      </c>
      <c r="E58" s="3">
        <v>0.079</v>
      </c>
      <c r="F58" s="14">
        <f>IF(D58="ag-01",0.12,IF(D58="ag-02",0.09,IF(D58="ar-03",12.03,IF(D58="ar-06",15,IF(D58="op-02",4.31,IF(D58="op-01",6.89,IF(D58="ar-09",44)))))))</f>
        <v>12.03</v>
      </c>
      <c r="G58" s="25">
        <f>E58*F58</f>
        <v>0.9503699999999999</v>
      </c>
      <c r="H58" s="1"/>
      <c r="I58" s="95"/>
      <c r="J58" s="5"/>
    </row>
    <row r="59" spans="1:10" ht="15.75">
      <c r="A59" s="174" t="s">
        <v>562</v>
      </c>
      <c r="B59" s="24"/>
      <c r="C59" s="24" t="s">
        <v>357</v>
      </c>
      <c r="D59" s="24" t="s">
        <v>563</v>
      </c>
      <c r="E59" s="3">
        <v>0.154</v>
      </c>
      <c r="F59" s="14">
        <f>IF(D59="ag-01",0.12,IF(D59="ag-02",0.09,IF(D59="ar-03",12.03,IF(D59="ar-06",15,IF(D59="op-02",4.31,IF(D59="op-01",6.89,IF(D59="ar-09",44)))))))</f>
        <v>15</v>
      </c>
      <c r="G59" s="39">
        <f>E59*F59</f>
        <v>2.31</v>
      </c>
      <c r="H59" s="1"/>
      <c r="I59" s="95"/>
      <c r="J59" s="5"/>
    </row>
    <row r="60" spans="1:10" ht="15.75">
      <c r="A60" s="174" t="s">
        <v>289</v>
      </c>
      <c r="B60" s="24"/>
      <c r="C60" s="24" t="s">
        <v>228</v>
      </c>
      <c r="D60" s="24" t="s">
        <v>290</v>
      </c>
      <c r="E60" s="3">
        <v>0.53</v>
      </c>
      <c r="F60" s="14">
        <f>+C138</f>
        <v>6.89</v>
      </c>
      <c r="G60" s="1"/>
      <c r="H60" s="25">
        <f>E60*F60</f>
        <v>3.6517</v>
      </c>
      <c r="I60" s="95"/>
      <c r="J60" s="5"/>
    </row>
    <row r="61" spans="1:10" ht="15.75">
      <c r="A61" s="174" t="s">
        <v>227</v>
      </c>
      <c r="B61" s="24"/>
      <c r="C61" s="24" t="s">
        <v>228</v>
      </c>
      <c r="D61" s="49" t="s">
        <v>229</v>
      </c>
      <c r="E61" s="3">
        <v>0.76</v>
      </c>
      <c r="F61" s="14">
        <f>+C139</f>
        <v>4.38</v>
      </c>
      <c r="G61" s="1"/>
      <c r="H61" s="25">
        <f>E61*F61</f>
        <v>3.3287999999999998</v>
      </c>
      <c r="I61" s="95"/>
      <c r="J61" s="5"/>
    </row>
    <row r="62" spans="1:10" ht="15.75">
      <c r="A62" s="174"/>
      <c r="B62" s="24"/>
      <c r="C62" s="24"/>
      <c r="D62" s="49"/>
      <c r="E62" s="3"/>
      <c r="F62" s="14"/>
      <c r="G62" s="258">
        <f>SUM(G56:G59)</f>
        <v>5.60397</v>
      </c>
      <c r="H62" s="258">
        <f>SUM(H60:H61)</f>
        <v>6.980499999999999</v>
      </c>
      <c r="I62" s="95"/>
      <c r="J62" s="5"/>
    </row>
    <row r="63" spans="1:10" ht="15.75">
      <c r="A63" s="173" t="s">
        <v>964</v>
      </c>
      <c r="B63" s="24"/>
      <c r="C63" s="24"/>
      <c r="D63" s="49"/>
      <c r="E63" s="3"/>
      <c r="F63" s="14"/>
      <c r="G63" s="76"/>
      <c r="H63" s="76"/>
      <c r="I63" s="95"/>
      <c r="J63" s="5"/>
    </row>
    <row r="64" spans="1:10" ht="15.75">
      <c r="A64" s="174" t="s">
        <v>624</v>
      </c>
      <c r="B64" s="24" t="s">
        <v>389</v>
      </c>
      <c r="C64" s="24" t="s">
        <v>287</v>
      </c>
      <c r="D64" s="24" t="s">
        <v>355</v>
      </c>
      <c r="E64" s="3">
        <v>32.4</v>
      </c>
      <c r="F64" s="14">
        <f>IF(D64="ag-01",0.12,IF(D64="ag-02",0.09,IF(D64="ar-03",12.03,IF(D64="ar-06",15,IF(D64="op-02",4.31,IF(D64="op-01",6.89,IF(D64="ar-09",44)))))))</f>
        <v>0.12</v>
      </c>
      <c r="G64" s="25">
        <f>E64*F64</f>
        <v>3.888</v>
      </c>
      <c r="H64" s="1"/>
      <c r="I64" s="95">
        <f>SUM(G68,H68)</f>
        <v>19.1845</v>
      </c>
      <c r="J64" s="5"/>
    </row>
    <row r="65" spans="1:10" ht="15.75">
      <c r="A65" s="174" t="s">
        <v>965</v>
      </c>
      <c r="B65" s="24"/>
      <c r="C65" s="24" t="s">
        <v>357</v>
      </c>
      <c r="D65" s="24" t="s">
        <v>966</v>
      </c>
      <c r="E65" s="3">
        <v>0.189</v>
      </c>
      <c r="F65" s="14">
        <f>IF(D65="ag-01",0.12,IF(D65="ag-02",0.09,IF(D65="ar-03",12.03,IF(D65="ar-06",15,IF(D65="op-02",4.31,IF(D65="op-01",6.89,IF(D65="ar-09",44)))))))</f>
        <v>44</v>
      </c>
      <c r="G65" s="25">
        <f>E65*F65</f>
        <v>8.316</v>
      </c>
      <c r="H65" s="1"/>
      <c r="I65" s="95"/>
      <c r="J65" s="5"/>
    </row>
    <row r="66" spans="1:10" ht="15.75">
      <c r="A66" s="174" t="s">
        <v>289</v>
      </c>
      <c r="B66" s="24"/>
      <c r="C66" s="24" t="s">
        <v>228</v>
      </c>
      <c r="D66" s="24" t="s">
        <v>290</v>
      </c>
      <c r="E66" s="3">
        <v>0.53</v>
      </c>
      <c r="F66" s="14">
        <f>+C138</f>
        <v>6.89</v>
      </c>
      <c r="G66" s="21"/>
      <c r="H66" s="25">
        <f>E66*F66</f>
        <v>3.6517</v>
      </c>
      <c r="I66" s="95"/>
      <c r="J66" s="5"/>
    </row>
    <row r="67" spans="1:10" ht="15.75">
      <c r="A67" s="174" t="s">
        <v>227</v>
      </c>
      <c r="B67" s="49"/>
      <c r="C67" s="49" t="s">
        <v>228</v>
      </c>
      <c r="D67" s="49" t="s">
        <v>229</v>
      </c>
      <c r="E67" s="50">
        <v>0.76</v>
      </c>
      <c r="F67" s="46">
        <f>+C139</f>
        <v>4.38</v>
      </c>
      <c r="G67" s="45"/>
      <c r="H67" s="38">
        <f>E67*F67</f>
        <v>3.3287999999999998</v>
      </c>
      <c r="I67" s="95"/>
      <c r="J67" s="51"/>
    </row>
    <row r="68" spans="1:10" ht="16.5" thickBot="1">
      <c r="A68" s="102"/>
      <c r="B68" s="28"/>
      <c r="C68" s="28"/>
      <c r="D68" s="28"/>
      <c r="E68" s="8"/>
      <c r="F68" s="10"/>
      <c r="G68" s="259">
        <f>SUM(G64:G65)</f>
        <v>12.204</v>
      </c>
      <c r="H68" s="259">
        <f>SUM(H66:H67)</f>
        <v>6.980499999999999</v>
      </c>
      <c r="I68" s="88"/>
      <c r="J68" s="11"/>
    </row>
    <row r="69" spans="1:54" s="1" customFormat="1" ht="16.5" thickTop="1">
      <c r="A69" s="177">
        <v>13.5</v>
      </c>
      <c r="B69" s="24"/>
      <c r="C69" s="24"/>
      <c r="D69" s="24"/>
      <c r="E69" s="3"/>
      <c r="F69" s="14"/>
      <c r="G69" s="76"/>
      <c r="H69" s="76"/>
      <c r="I69" s="95"/>
      <c r="J69" s="5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</row>
    <row r="70" spans="1:54" s="1" customFormat="1" ht="15.75">
      <c r="A70" s="173" t="s">
        <v>970</v>
      </c>
      <c r="B70" s="24"/>
      <c r="C70" s="24"/>
      <c r="D70" s="24"/>
      <c r="E70" s="3"/>
      <c r="F70" s="14"/>
      <c r="G70" s="76"/>
      <c r="H70" s="76"/>
      <c r="I70" s="95"/>
      <c r="J70" s="5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</row>
    <row r="71" spans="1:54" s="1" customFormat="1" ht="15.75">
      <c r="A71" s="173" t="s">
        <v>971</v>
      </c>
      <c r="B71" s="24"/>
      <c r="C71" s="24"/>
      <c r="D71" s="24"/>
      <c r="E71" s="3"/>
      <c r="F71" s="14"/>
      <c r="G71" s="76"/>
      <c r="H71" s="76"/>
      <c r="I71" s="95"/>
      <c r="J71" s="5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</row>
    <row r="72" spans="1:54" s="1" customFormat="1" ht="15.75">
      <c r="A72" s="173" t="s">
        <v>969</v>
      </c>
      <c r="B72" s="24"/>
      <c r="C72" s="24"/>
      <c r="D72" s="24"/>
      <c r="E72" s="3"/>
      <c r="F72" s="14"/>
      <c r="G72" s="76"/>
      <c r="H72" s="76"/>
      <c r="I72" s="95"/>
      <c r="J72" s="5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</row>
    <row r="73" spans="1:54" s="1" customFormat="1" ht="15.75">
      <c r="A73" s="173" t="s">
        <v>963</v>
      </c>
      <c r="B73" s="24"/>
      <c r="C73" s="24"/>
      <c r="D73" s="24"/>
      <c r="E73" s="3"/>
      <c r="F73" s="14"/>
      <c r="G73" s="76"/>
      <c r="H73" s="76"/>
      <c r="I73" s="95"/>
      <c r="J73" s="5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</row>
    <row r="74" spans="1:54" s="1" customFormat="1" ht="15.75">
      <c r="A74" s="174" t="s">
        <v>624</v>
      </c>
      <c r="B74" s="24" t="s">
        <v>387</v>
      </c>
      <c r="C74" s="24" t="s">
        <v>287</v>
      </c>
      <c r="D74" s="24" t="s">
        <v>355</v>
      </c>
      <c r="E74" s="3">
        <v>4.7</v>
      </c>
      <c r="F74" s="14">
        <f>IF(D74="ag-01",0.12,IF(D74="ag-02",0.09,IF(D74="ar-03",12.03,IF(D74="ar-06",15,IF(D74="op-02",4.31,IF(D74="op-01",6.89,IF(D74="ar-09",44)))))))</f>
        <v>0.12</v>
      </c>
      <c r="G74" s="25">
        <f>E74*F74</f>
        <v>0.564</v>
      </c>
      <c r="I74" s="95">
        <f>SUM(G80,H80)</f>
        <v>10.746019999999998</v>
      </c>
      <c r="J74" s="5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</row>
    <row r="75" spans="1:54" s="1" customFormat="1" ht="15.75">
      <c r="A75" s="174" t="s">
        <v>557</v>
      </c>
      <c r="B75" s="24"/>
      <c r="C75" s="24" t="s">
        <v>287</v>
      </c>
      <c r="D75" s="24" t="s">
        <v>377</v>
      </c>
      <c r="E75" s="3">
        <v>8.2</v>
      </c>
      <c r="F75" s="14">
        <f>IF(D75="ag-01",0.12,IF(D75="ag-02",0.09,IF(D75="ar-03",12.03,IF(D75="ar-06",15,IF(D75="op-02",4.31,IF(D75="op-01",6.89,IF(D75="ar-09",44)))))))</f>
        <v>0.09</v>
      </c>
      <c r="G75" s="25">
        <f>E75*F75</f>
        <v>0.7379999999999999</v>
      </c>
      <c r="I75" s="95"/>
      <c r="J75" s="5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</row>
    <row r="76" spans="1:54" s="1" customFormat="1" ht="15.75">
      <c r="A76" s="174" t="s">
        <v>559</v>
      </c>
      <c r="B76" s="24"/>
      <c r="C76" s="24" t="s">
        <v>357</v>
      </c>
      <c r="D76" s="24" t="s">
        <v>560</v>
      </c>
      <c r="E76" s="3">
        <v>0.044</v>
      </c>
      <c r="F76" s="14">
        <f>IF(D76="ag-01",0.12,IF(D76="ag-02",0.09,IF(D76="ar-03",12.03,IF(D76="ar-06",15,IF(D76="op-02",4.31,IF(D76="op-01",6.89,IF(D76="ar-09",44)))))))</f>
        <v>12.03</v>
      </c>
      <c r="G76" s="25">
        <f>E76*F76</f>
        <v>0.5293199999999999</v>
      </c>
      <c r="I76" s="95"/>
      <c r="J76" s="5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</row>
    <row r="77" spans="1:54" s="1" customFormat="1" ht="15.75">
      <c r="A77" s="174" t="s">
        <v>562</v>
      </c>
      <c r="B77" s="24"/>
      <c r="C77" s="24" t="s">
        <v>357</v>
      </c>
      <c r="D77" s="24" t="s">
        <v>563</v>
      </c>
      <c r="E77" s="3">
        <v>0.086</v>
      </c>
      <c r="F77" s="14">
        <f>IF(D77="ag-01",0.12,IF(D77="ag-02",0.09,IF(D77="ar-03",12.03,IF(D77="ar-06",15,IF(D77="op-02",4.31,IF(D77="op-01",6.89,IF(D77="ar-09",44)))))))</f>
        <v>15</v>
      </c>
      <c r="G77" s="25">
        <f>E77*F77</f>
        <v>1.2899999999999998</v>
      </c>
      <c r="I77" s="95"/>
      <c r="J77" s="5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</row>
    <row r="78" spans="1:54" s="1" customFormat="1" ht="15.75">
      <c r="A78" s="174" t="s">
        <v>289</v>
      </c>
      <c r="B78" s="24"/>
      <c r="C78" s="24" t="s">
        <v>228</v>
      </c>
      <c r="D78" s="24" t="s">
        <v>290</v>
      </c>
      <c r="E78" s="3">
        <v>0.49</v>
      </c>
      <c r="F78" s="14">
        <f>+C138</f>
        <v>6.89</v>
      </c>
      <c r="H78" s="25">
        <f>E78*F78</f>
        <v>3.3760999999999997</v>
      </c>
      <c r="I78" s="95"/>
      <c r="J78" s="5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</row>
    <row r="79" spans="1:54" s="1" customFormat="1" ht="15.75">
      <c r="A79" s="174" t="s">
        <v>227</v>
      </c>
      <c r="B79" s="24"/>
      <c r="C79" s="24" t="s">
        <v>228</v>
      </c>
      <c r="D79" s="24" t="s">
        <v>229</v>
      </c>
      <c r="E79" s="3">
        <v>0.97</v>
      </c>
      <c r="F79" s="14">
        <f>+C139</f>
        <v>4.38</v>
      </c>
      <c r="H79" s="25">
        <f>E79*F79</f>
        <v>4.2486</v>
      </c>
      <c r="I79" s="95"/>
      <c r="J79" s="5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</row>
    <row r="80" spans="1:54" s="1" customFormat="1" ht="15.75">
      <c r="A80" s="174"/>
      <c r="B80" s="24"/>
      <c r="C80" s="24"/>
      <c r="D80" s="24"/>
      <c r="E80" s="3"/>
      <c r="F80" s="14"/>
      <c r="G80" s="258">
        <f>SUM(G74:G77)</f>
        <v>3.12132</v>
      </c>
      <c r="H80" s="258">
        <f>SUM(H78:H79)</f>
        <v>7.624699999999999</v>
      </c>
      <c r="I80" s="95"/>
      <c r="J80" s="5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</row>
    <row r="81" spans="1:54" s="1" customFormat="1" ht="15.75">
      <c r="A81" s="173" t="s">
        <v>964</v>
      </c>
      <c r="B81" s="24"/>
      <c r="C81" s="24"/>
      <c r="D81" s="24"/>
      <c r="E81" s="3"/>
      <c r="F81" s="14"/>
      <c r="G81" s="76"/>
      <c r="H81" s="76"/>
      <c r="I81" s="95"/>
      <c r="J81" s="5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</row>
    <row r="82" spans="1:54" s="1" customFormat="1" ht="15.75">
      <c r="A82" s="174" t="s">
        <v>624</v>
      </c>
      <c r="B82" s="24" t="s">
        <v>389</v>
      </c>
      <c r="C82" s="24" t="s">
        <v>287</v>
      </c>
      <c r="D82" s="24" t="s">
        <v>355</v>
      </c>
      <c r="E82" s="3">
        <v>18</v>
      </c>
      <c r="F82" s="14">
        <f>IF(D82="ag-01",0.12,IF(D82="ag-02",0.09,IF(D82="ar-03",12.03,IF(D82="ar-06",15,IF(D82="op-02",4.31,IF(D82="op-01",6.89,IF(D82="ar-09",44)))))))</f>
        <v>0.12</v>
      </c>
      <c r="G82" s="25">
        <f>E82*F82</f>
        <v>2.16</v>
      </c>
      <c r="H82" s="76"/>
      <c r="I82" s="95">
        <f>SUM(G86,H86)</f>
        <v>14.404699999999998</v>
      </c>
      <c r="J82" s="5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</row>
    <row r="83" spans="1:54" s="1" customFormat="1" ht="15.75">
      <c r="A83" s="174" t="s">
        <v>965</v>
      </c>
      <c r="B83" s="24"/>
      <c r="C83" s="24" t="s">
        <v>357</v>
      </c>
      <c r="D83" s="24" t="s">
        <v>966</v>
      </c>
      <c r="E83" s="3">
        <v>0.105</v>
      </c>
      <c r="F83" s="14">
        <f>IF(D83="ag-01",0.12,IF(D83="ag-02",0.09,IF(D83="ar-03",12.03,IF(D83="ar-06",15,IF(D83="op-02",4.31,IF(D83="op-01",6.89,IF(D83="ar-09",44)))))))</f>
        <v>44</v>
      </c>
      <c r="G83" s="25">
        <f>E83*F83</f>
        <v>4.62</v>
      </c>
      <c r="I83" s="95"/>
      <c r="J83" s="5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</row>
    <row r="84" spans="1:54" s="1" customFormat="1" ht="15.75">
      <c r="A84" s="174" t="s">
        <v>289</v>
      </c>
      <c r="B84" s="24"/>
      <c r="C84" s="24" t="s">
        <v>228</v>
      </c>
      <c r="D84" s="24" t="s">
        <v>290</v>
      </c>
      <c r="E84" s="3">
        <v>0.49</v>
      </c>
      <c r="F84" s="14">
        <f>+C138</f>
        <v>6.89</v>
      </c>
      <c r="H84" s="25">
        <f>E84*F84</f>
        <v>3.3760999999999997</v>
      </c>
      <c r="I84" s="95"/>
      <c r="J84" s="5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</row>
    <row r="85" spans="1:54" s="1" customFormat="1" ht="15.75">
      <c r="A85" s="174" t="s">
        <v>227</v>
      </c>
      <c r="B85" s="24"/>
      <c r="C85" s="24" t="s">
        <v>228</v>
      </c>
      <c r="D85" s="24" t="s">
        <v>229</v>
      </c>
      <c r="E85" s="3">
        <v>0.97</v>
      </c>
      <c r="F85" s="14">
        <f>+C139</f>
        <v>4.38</v>
      </c>
      <c r="H85" s="25">
        <f>E85*F85</f>
        <v>4.2486</v>
      </c>
      <c r="I85" s="95"/>
      <c r="J85" s="5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</row>
    <row r="86" spans="1:54" s="1" customFormat="1" ht="16.5" thickBot="1">
      <c r="A86" s="204"/>
      <c r="B86" s="28"/>
      <c r="C86" s="28"/>
      <c r="D86" s="28"/>
      <c r="E86" s="8"/>
      <c r="F86" s="10"/>
      <c r="G86" s="212">
        <f>SUM(G82:G83)</f>
        <v>6.78</v>
      </c>
      <c r="H86" s="259">
        <f>SUM(H84:H85)</f>
        <v>7.624699999999999</v>
      </c>
      <c r="I86" s="96"/>
      <c r="J86" s="1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</row>
    <row r="87" spans="1:54" s="1" customFormat="1" ht="16.5" thickTop="1">
      <c r="A87" s="177">
        <v>13.6</v>
      </c>
      <c r="B87" s="24"/>
      <c r="C87" s="24"/>
      <c r="D87" s="24"/>
      <c r="E87" s="3"/>
      <c r="F87" s="14"/>
      <c r="G87" s="76"/>
      <c r="H87" s="76"/>
      <c r="I87" s="95"/>
      <c r="J87" s="5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</row>
    <row r="88" spans="1:54" s="1" customFormat="1" ht="15.75">
      <c r="A88" s="173" t="s">
        <v>972</v>
      </c>
      <c r="B88" s="24"/>
      <c r="C88" s="24"/>
      <c r="D88" s="24"/>
      <c r="E88" s="3"/>
      <c r="F88" s="14"/>
      <c r="G88" s="76"/>
      <c r="H88" s="76"/>
      <c r="I88" s="95"/>
      <c r="J88" s="5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</row>
    <row r="89" spans="1:54" s="1" customFormat="1" ht="15.75">
      <c r="A89" s="173" t="s">
        <v>973</v>
      </c>
      <c r="B89" s="24"/>
      <c r="C89" s="24"/>
      <c r="D89" s="24"/>
      <c r="E89" s="3"/>
      <c r="F89" s="14"/>
      <c r="G89" s="76"/>
      <c r="H89" s="76"/>
      <c r="I89" s="95"/>
      <c r="J89" s="5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</row>
    <row r="90" spans="1:54" s="1" customFormat="1" ht="15.75">
      <c r="A90" s="173" t="s">
        <v>974</v>
      </c>
      <c r="B90" s="24"/>
      <c r="C90" s="24"/>
      <c r="D90" s="24"/>
      <c r="E90" s="3"/>
      <c r="F90" s="14"/>
      <c r="G90" s="76"/>
      <c r="H90" s="76"/>
      <c r="I90" s="95"/>
      <c r="J90" s="5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</row>
    <row r="91" spans="1:54" s="1" customFormat="1" ht="15.75">
      <c r="A91" s="173" t="s">
        <v>963</v>
      </c>
      <c r="B91" s="24"/>
      <c r="C91" s="24"/>
      <c r="D91" s="24"/>
      <c r="E91" s="3"/>
      <c r="F91" s="14"/>
      <c r="G91" s="76"/>
      <c r="H91" s="76"/>
      <c r="I91" s="95"/>
      <c r="J91" s="5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</row>
    <row r="92" spans="1:54" s="1" customFormat="1" ht="15.75">
      <c r="A92" s="174" t="s">
        <v>624</v>
      </c>
      <c r="B92" s="24" t="s">
        <v>387</v>
      </c>
      <c r="C92" s="24" t="s">
        <v>287</v>
      </c>
      <c r="D92" s="24" t="s">
        <v>355</v>
      </c>
      <c r="E92" s="3">
        <v>2.82</v>
      </c>
      <c r="F92" s="14">
        <f>IF(D92="ag-01",0.12,IF(D92="ag-02",0.09,IF(D92="ar-03",12.03,IF(D92="ar-06",15,IF(D92="op-02",4.31,IF(D92="op-01",6.89,IF(D92="ar-09",44)))))))</f>
        <v>0.12</v>
      </c>
      <c r="G92" s="25">
        <f>E92*F92</f>
        <v>0.3384</v>
      </c>
      <c r="I92" s="95">
        <f>SUM(G98,H98)</f>
        <v>6.162209999999999</v>
      </c>
      <c r="J92" s="5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</row>
    <row r="93" spans="1:54" s="1" customFormat="1" ht="15.75">
      <c r="A93" s="174" t="s">
        <v>557</v>
      </c>
      <c r="B93" s="24"/>
      <c r="C93" s="24" t="s">
        <v>287</v>
      </c>
      <c r="D93" s="24" t="s">
        <v>377</v>
      </c>
      <c r="E93" s="3">
        <v>4.92</v>
      </c>
      <c r="F93" s="14">
        <f>IF(D93="ag-01",0.12,IF(D93="ag-02",0.09,IF(D93="ar-03",12.03,IF(D93="ar-06",15,IF(D93="op-02",4.31,IF(D93="op-01",6.89,IF(D93="ar-09",44)))))))</f>
        <v>0.09</v>
      </c>
      <c r="G93" s="25">
        <f>E93*F93</f>
        <v>0.44279999999999997</v>
      </c>
      <c r="I93" s="95"/>
      <c r="J93" s="5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</row>
    <row r="94" spans="1:54" s="1" customFormat="1" ht="15.75">
      <c r="A94" s="174" t="s">
        <v>559</v>
      </c>
      <c r="B94" s="24"/>
      <c r="C94" s="24" t="s">
        <v>357</v>
      </c>
      <c r="D94" s="24" t="s">
        <v>560</v>
      </c>
      <c r="E94" s="3">
        <v>0.027</v>
      </c>
      <c r="F94" s="14">
        <f>IF(D94="ag-01",0.12,IF(D94="ag-02",0.09,IF(D94="ar-03",12.03,IF(D94="ar-06",15,IF(D94="op-02",4.31,IF(D94="op-01",6.89,IF(D94="ar-09",44)))))))</f>
        <v>12.03</v>
      </c>
      <c r="G94" s="25">
        <f>E94*F94</f>
        <v>0.32481</v>
      </c>
      <c r="I94" s="95"/>
      <c r="J94" s="5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</row>
    <row r="95" spans="1:54" s="1" customFormat="1" ht="15.75">
      <c r="A95" s="174" t="s">
        <v>562</v>
      </c>
      <c r="B95" s="24"/>
      <c r="C95" s="24" t="s">
        <v>357</v>
      </c>
      <c r="D95" s="24" t="s">
        <v>563</v>
      </c>
      <c r="E95" s="3">
        <v>0.052</v>
      </c>
      <c r="F95" s="14">
        <f>IF(D95="ag-01",0.12,IF(D95="ag-02",0.09,IF(D95="ar-03",12.03,IF(D95="ar-06",15,IF(D95="op-02",4.31,IF(D95="op-01",6.89,IF(D95="ar-09",44)))))))</f>
        <v>15</v>
      </c>
      <c r="G95" s="25">
        <f>E95*F95</f>
        <v>0.7799999999999999</v>
      </c>
      <c r="I95" s="95"/>
      <c r="J95" s="5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</row>
    <row r="96" spans="1:54" s="1" customFormat="1" ht="15.75">
      <c r="A96" s="174" t="s">
        <v>289</v>
      </c>
      <c r="B96" s="24"/>
      <c r="C96" s="24" t="s">
        <v>228</v>
      </c>
      <c r="D96" s="24" t="s">
        <v>290</v>
      </c>
      <c r="E96" s="3">
        <v>0.36</v>
      </c>
      <c r="F96" s="14">
        <f>+C138</f>
        <v>6.89</v>
      </c>
      <c r="H96" s="25">
        <f>E96*F96</f>
        <v>2.4804</v>
      </c>
      <c r="I96" s="95"/>
      <c r="J96" s="5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</row>
    <row r="97" spans="1:54" s="1" customFormat="1" ht="15.75">
      <c r="A97" s="174" t="s">
        <v>227</v>
      </c>
      <c r="B97" s="24"/>
      <c r="C97" s="24" t="s">
        <v>228</v>
      </c>
      <c r="D97" s="24" t="s">
        <v>229</v>
      </c>
      <c r="E97" s="3">
        <v>0.41</v>
      </c>
      <c r="F97" s="14">
        <f>+C139</f>
        <v>4.38</v>
      </c>
      <c r="H97" s="25">
        <f>E97*F97</f>
        <v>1.7957999999999998</v>
      </c>
      <c r="I97" s="95"/>
      <c r="J97" s="5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</row>
    <row r="98" spans="1:54" s="1" customFormat="1" ht="15.75">
      <c r="A98" s="174"/>
      <c r="B98" s="24"/>
      <c r="C98" s="24"/>
      <c r="D98" s="24"/>
      <c r="E98" s="3"/>
      <c r="F98" s="14"/>
      <c r="G98" s="258">
        <f>SUM(G92:G95)</f>
        <v>1.8860099999999997</v>
      </c>
      <c r="H98" s="258">
        <f>SUM(H96:H97)</f>
        <v>4.276199999999999</v>
      </c>
      <c r="I98" s="95"/>
      <c r="J98" s="5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</row>
    <row r="99" spans="1:54" s="1" customFormat="1" ht="15.75">
      <c r="A99" s="173" t="s">
        <v>975</v>
      </c>
      <c r="B99" s="24"/>
      <c r="C99" s="24"/>
      <c r="D99" s="24"/>
      <c r="E99" s="3"/>
      <c r="F99" s="14"/>
      <c r="G99" s="76"/>
      <c r="H99" s="76"/>
      <c r="I99" s="95"/>
      <c r="J99" s="5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</row>
    <row r="100" spans="1:54" s="1" customFormat="1" ht="15.75">
      <c r="A100" s="172" t="s">
        <v>976</v>
      </c>
      <c r="B100" s="24" t="s">
        <v>389</v>
      </c>
      <c r="C100" s="24" t="s">
        <v>287</v>
      </c>
      <c r="D100" s="24" t="s">
        <v>355</v>
      </c>
      <c r="E100" s="3">
        <v>15</v>
      </c>
      <c r="F100" s="14">
        <f>IF(D100="ag-01",0.12,IF(D100="ag-02",0.09,IF(D100="ar-03",12.03,IF(D100="ar-06",15,IF(D100="op-02",4.31,IF(D100="op-01",6.89,IF(D100="ar-09",44,IF(D100="ar-02",18.43))))))))</f>
        <v>0.12</v>
      </c>
      <c r="G100" s="25">
        <f>E100*F100</f>
        <v>1.7999999999999998</v>
      </c>
      <c r="I100" s="95">
        <f>SUM(G105,H105)</f>
        <v>8.7851</v>
      </c>
      <c r="J100" s="5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</row>
    <row r="101" spans="1:54" s="1" customFormat="1" ht="15.75">
      <c r="A101" s="174" t="s">
        <v>671</v>
      </c>
      <c r="B101" s="24"/>
      <c r="C101" s="24" t="s">
        <v>357</v>
      </c>
      <c r="D101" s="24" t="s">
        <v>672</v>
      </c>
      <c r="E101" s="3">
        <v>0.03</v>
      </c>
      <c r="F101" s="14">
        <f>IF(D101="ag-01",0.12,IF(D101="ag-02",0.09,IF(D101="ar-03",12.03,IF(D101="ar-06",15,IF(D101="op-02",4.31,IF(D101="op-01",6.89,IF(D101="ar-09",44,IF(D101="ar-02",18.43))))))))</f>
        <v>18.43</v>
      </c>
      <c r="G101" s="25">
        <f>E101*F101</f>
        <v>0.5529</v>
      </c>
      <c r="I101" s="95"/>
      <c r="J101" s="5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</row>
    <row r="102" spans="1:54" s="1" customFormat="1" ht="15.75">
      <c r="A102" s="174" t="s">
        <v>965</v>
      </c>
      <c r="B102" s="24"/>
      <c r="C102" s="24" t="s">
        <v>357</v>
      </c>
      <c r="D102" s="24" t="s">
        <v>966</v>
      </c>
      <c r="E102" s="3">
        <v>0.049</v>
      </c>
      <c r="F102" s="14">
        <f>IF(D102="ag-01",0.12,IF(D102="ag-02",0.09,IF(D102="ar-03",12.03,IF(D102="ar-06",15,IF(D102="op-02",4.31,IF(D102="op-01",6.89,IF(D102="ar-09",44,IF(D102="ar-02",18.43))))))))</f>
        <v>44</v>
      </c>
      <c r="G102" s="25">
        <f>E102*F102</f>
        <v>2.156</v>
      </c>
      <c r="I102" s="95"/>
      <c r="J102" s="5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</row>
    <row r="103" spans="1:54" s="1" customFormat="1" ht="15.75">
      <c r="A103" s="174" t="s">
        <v>289</v>
      </c>
      <c r="B103" s="24"/>
      <c r="C103" s="24" t="s">
        <v>228</v>
      </c>
      <c r="D103" s="24" t="s">
        <v>290</v>
      </c>
      <c r="E103" s="3">
        <v>0.36</v>
      </c>
      <c r="F103" s="14">
        <f>+C138</f>
        <v>6.89</v>
      </c>
      <c r="H103" s="25">
        <f>E103*F103</f>
        <v>2.4804</v>
      </c>
      <c r="I103" s="95"/>
      <c r="J103" s="5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</row>
    <row r="104" spans="1:54" s="1" customFormat="1" ht="15.75">
      <c r="A104" s="174" t="s">
        <v>227</v>
      </c>
      <c r="B104" s="24"/>
      <c r="C104" s="24" t="s">
        <v>228</v>
      </c>
      <c r="D104" s="24" t="s">
        <v>229</v>
      </c>
      <c r="E104" s="3">
        <v>0.41</v>
      </c>
      <c r="F104" s="14">
        <f>+C139</f>
        <v>4.38</v>
      </c>
      <c r="H104" s="25">
        <f>E104*F104</f>
        <v>1.7957999999999998</v>
      </c>
      <c r="I104" s="95"/>
      <c r="J104" s="5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</row>
    <row r="105" spans="1:54" s="1" customFormat="1" ht="15.75">
      <c r="A105" s="174"/>
      <c r="B105" s="24"/>
      <c r="C105" s="24"/>
      <c r="D105" s="24"/>
      <c r="E105" s="3"/>
      <c r="F105" s="14"/>
      <c r="G105" s="258">
        <f>SUM(G100:G102)</f>
        <v>4.508900000000001</v>
      </c>
      <c r="H105" s="258">
        <f>SUM(H103:H104)</f>
        <v>4.276199999999999</v>
      </c>
      <c r="I105" s="95"/>
      <c r="J105" s="5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</row>
    <row r="106" spans="1:54" s="1" customFormat="1" ht="15.75">
      <c r="A106" s="173" t="s">
        <v>977</v>
      </c>
      <c r="B106" s="24" t="s">
        <v>404</v>
      </c>
      <c r="C106" s="24" t="s">
        <v>287</v>
      </c>
      <c r="D106" s="24" t="s">
        <v>355</v>
      </c>
      <c r="E106" s="3">
        <v>19.2</v>
      </c>
      <c r="F106" s="14">
        <f>IF(D106="ag-01",0.12,IF(D106="ag-02",0.09,IF(D106="ar-03",12.03,IF(D106="ar-06",15,IF(D106="op-02",4.31,IF(D106="op-01",6.89,IF(D106="ai-03",3.5,IF(D106="ai-02",100))))))))</f>
        <v>0.12</v>
      </c>
      <c r="G106" s="25">
        <f>E106*F106</f>
        <v>2.304</v>
      </c>
      <c r="I106" s="95">
        <f>SUM(G111,H111)</f>
        <v>13.0902</v>
      </c>
      <c r="J106" s="5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</row>
    <row r="107" spans="1:54" s="1" customFormat="1" ht="15.75">
      <c r="A107" s="174" t="s">
        <v>978</v>
      </c>
      <c r="B107" s="24"/>
      <c r="C107" s="24" t="s">
        <v>357</v>
      </c>
      <c r="D107" s="24" t="s">
        <v>979</v>
      </c>
      <c r="E107" s="3">
        <v>0.063</v>
      </c>
      <c r="F107" s="14">
        <f>IF(D107="ag-01",0.12,IF(D107="ag-02",0.09,IF(D107="ar-03",12.03,IF(D107="ar-06",15,IF(D107="op-02",4.31,IF(D107="op-01",6.89,IF(D107="ai-03",3.5,IF(D107="ai-02",100))))))))</f>
        <v>100</v>
      </c>
      <c r="G107" s="25">
        <f>E107*F107</f>
        <v>6.3</v>
      </c>
      <c r="I107" s="95"/>
      <c r="J107" s="5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</row>
    <row r="108" spans="1:54" s="1" customFormat="1" ht="15.75">
      <c r="A108" s="174" t="s">
        <v>980</v>
      </c>
      <c r="B108" s="24"/>
      <c r="C108" s="24" t="s">
        <v>317</v>
      </c>
      <c r="D108" s="24" t="s">
        <v>981</v>
      </c>
      <c r="E108" s="3">
        <v>0.06</v>
      </c>
      <c r="F108" s="14">
        <f>IF(D108="ag-01",0.12,IF(D108="ag-02",0.09,IF(D108="ar-03",12.03,IF(D108="ar-06",15,IF(D108="op-02",4.31,IF(D108="op-01",6.89,IF(D108="ai-03",3.5,IF(D108="ai-02",100))))))))</f>
        <v>3.5</v>
      </c>
      <c r="G108" s="25">
        <f>E108*F108</f>
        <v>0.21</v>
      </c>
      <c r="I108" s="95"/>
      <c r="J108" s="53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</row>
    <row r="109" spans="1:54" s="1" customFormat="1" ht="15.75">
      <c r="A109" s="174" t="s">
        <v>289</v>
      </c>
      <c r="B109" s="24"/>
      <c r="C109" s="24" t="s">
        <v>228</v>
      </c>
      <c r="D109" s="24" t="s">
        <v>290</v>
      </c>
      <c r="E109" s="3">
        <v>0.36</v>
      </c>
      <c r="F109" s="14">
        <f>+C138</f>
        <v>6.89</v>
      </c>
      <c r="H109" s="25">
        <f>E109*F109</f>
        <v>2.4804</v>
      </c>
      <c r="I109" s="95"/>
      <c r="J109" s="53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</row>
    <row r="110" spans="1:54" s="1" customFormat="1" ht="15.75">
      <c r="A110" s="174" t="s">
        <v>227</v>
      </c>
      <c r="B110" s="24"/>
      <c r="C110" s="24" t="s">
        <v>228</v>
      </c>
      <c r="D110" s="24" t="s">
        <v>229</v>
      </c>
      <c r="E110" s="3">
        <v>0.41</v>
      </c>
      <c r="F110" s="14">
        <f>+C139</f>
        <v>4.38</v>
      </c>
      <c r="H110" s="25">
        <f>E110*F110</f>
        <v>1.7957999999999998</v>
      </c>
      <c r="I110" s="95"/>
      <c r="J110" s="5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</row>
    <row r="111" spans="1:54" s="1" customFormat="1" ht="15.75">
      <c r="A111" s="174"/>
      <c r="B111" s="24"/>
      <c r="C111" s="24"/>
      <c r="D111" s="24"/>
      <c r="E111" s="3"/>
      <c r="F111" s="14"/>
      <c r="G111" s="258">
        <f>SUM(G106:G108)</f>
        <v>8.814</v>
      </c>
      <c r="H111" s="258">
        <f>SUM(H109:H110)</f>
        <v>4.276199999999999</v>
      </c>
      <c r="I111" s="95"/>
      <c r="J111" s="53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</row>
    <row r="112" spans="1:54" s="1" customFormat="1" ht="15.75">
      <c r="A112" s="173" t="s">
        <v>982</v>
      </c>
      <c r="B112" s="24"/>
      <c r="C112" s="24"/>
      <c r="D112" s="24"/>
      <c r="E112" s="3"/>
      <c r="F112" s="14"/>
      <c r="G112" s="76"/>
      <c r="H112" s="76"/>
      <c r="I112" s="95"/>
      <c r="J112" s="53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</row>
    <row r="113" spans="1:54" s="1" customFormat="1" ht="15.75">
      <c r="A113" s="174" t="s">
        <v>624</v>
      </c>
      <c r="B113" s="24" t="s">
        <v>406</v>
      </c>
      <c r="C113" s="24" t="s">
        <v>287</v>
      </c>
      <c r="D113" s="24" t="s">
        <v>355</v>
      </c>
      <c r="E113" s="3">
        <v>18</v>
      </c>
      <c r="F113" s="14">
        <f>IF(D113="ag-01",0.12,IF(D113="ag-02",0.09,IF(D113="ar-03",12.03,IF(D113="ar-06",15,IF(D113="op-02",4.31,IF(D113="op-01",6.89,IF(D113="ai-04",44,IF(D113="ai-05",0.6))))))))</f>
        <v>0.12</v>
      </c>
      <c r="G113" s="25">
        <f>E113*F113</f>
        <v>2.16</v>
      </c>
      <c r="H113" s="76"/>
      <c r="I113" s="95">
        <f>SUM(G118,H118)</f>
        <v>9.184199999999999</v>
      </c>
      <c r="J113" s="53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</row>
    <row r="114" spans="1:54" s="1" customFormat="1" ht="15.75">
      <c r="A114" s="189" t="s">
        <v>983</v>
      </c>
      <c r="B114" s="24"/>
      <c r="C114" s="24" t="s">
        <v>357</v>
      </c>
      <c r="D114" s="24" t="s">
        <v>984</v>
      </c>
      <c r="E114" s="3">
        <v>0.06</v>
      </c>
      <c r="F114" s="14">
        <f>IF(D114="ag-01",0.12,IF(D114="ag-02",0.09,IF(D114="ar-03",12.03,IF(D114="ar-06",15,IF(D114="op-02",4.31,IF(D114="op-01",6.89,IF(D114="ai-04",44,IF(D114="ai-05",0.6))))))))</f>
        <v>44</v>
      </c>
      <c r="G114" s="25">
        <f>E114*F114</f>
        <v>2.6399999999999997</v>
      </c>
      <c r="I114" s="95"/>
      <c r="J114" s="53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1:54" s="1" customFormat="1" ht="15.75">
      <c r="A115" s="174" t="s">
        <v>985</v>
      </c>
      <c r="B115" s="24"/>
      <c r="C115" s="24" t="s">
        <v>317</v>
      </c>
      <c r="D115" s="24" t="s">
        <v>986</v>
      </c>
      <c r="E115" s="3">
        <v>0.18</v>
      </c>
      <c r="F115" s="14">
        <f>IF(D115="ag-01",0.12,IF(D115="ag-02",0.09,IF(D115="ar-03",12.03,IF(D115="ar-06",15,IF(D115="op-02",4.31,IF(D115="op-01",6.89,IF(D115="ai-04",44,IF(D115="ai-05",0.6))))))))</f>
        <v>0.6</v>
      </c>
      <c r="G115" s="25">
        <f>E115*F115</f>
        <v>0.108</v>
      </c>
      <c r="I115" s="95"/>
      <c r="J115" s="5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</row>
    <row r="116" spans="1:54" s="1" customFormat="1" ht="15.75">
      <c r="A116" s="174" t="s">
        <v>289</v>
      </c>
      <c r="B116" s="24"/>
      <c r="C116" s="24" t="s">
        <v>228</v>
      </c>
      <c r="D116" s="24" t="s">
        <v>290</v>
      </c>
      <c r="E116" s="3">
        <v>0.36</v>
      </c>
      <c r="F116" s="14">
        <f>+C138</f>
        <v>6.89</v>
      </c>
      <c r="H116" s="25">
        <f>E116*F116</f>
        <v>2.4804</v>
      </c>
      <c r="I116" s="95"/>
      <c r="J116" s="5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s="1" customFormat="1" ht="15.75">
      <c r="A117" s="174" t="s">
        <v>227</v>
      </c>
      <c r="B117" s="24"/>
      <c r="C117" s="24" t="s">
        <v>228</v>
      </c>
      <c r="D117" s="24" t="s">
        <v>229</v>
      </c>
      <c r="E117" s="3">
        <v>0.41</v>
      </c>
      <c r="F117" s="14">
        <f>+C139</f>
        <v>4.38</v>
      </c>
      <c r="H117" s="25">
        <f>E117*F117</f>
        <v>1.7957999999999998</v>
      </c>
      <c r="I117" s="95"/>
      <c r="J117" s="5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1:54" s="6" customFormat="1" ht="16.5" thickBot="1">
      <c r="A118" s="204"/>
      <c r="B118" s="28"/>
      <c r="C118" s="28"/>
      <c r="D118" s="28"/>
      <c r="E118" s="8"/>
      <c r="F118" s="10"/>
      <c r="G118" s="259">
        <f>SUM(G113:G115)</f>
        <v>4.9079999999999995</v>
      </c>
      <c r="H118" s="259">
        <f>SUM(H116:H117)</f>
        <v>4.276199999999999</v>
      </c>
      <c r="I118" s="96"/>
      <c r="J118" s="1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</row>
    <row r="119" spans="1:54" s="1" customFormat="1" ht="16.5" thickTop="1">
      <c r="A119" s="177">
        <v>13.7</v>
      </c>
      <c r="B119" s="24"/>
      <c r="C119" s="24"/>
      <c r="D119" s="24"/>
      <c r="E119" s="3"/>
      <c r="F119" s="14"/>
      <c r="G119" s="76"/>
      <c r="H119" s="76"/>
      <c r="I119" s="95"/>
      <c r="J119" s="5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</row>
    <row r="120" spans="1:54" s="1" customFormat="1" ht="15.75">
      <c r="A120" s="173" t="s">
        <v>987</v>
      </c>
      <c r="B120" s="24"/>
      <c r="C120" s="24"/>
      <c r="D120" s="24"/>
      <c r="E120" s="3"/>
      <c r="F120" s="14"/>
      <c r="G120" s="76"/>
      <c r="H120" s="76"/>
      <c r="I120" s="95"/>
      <c r="J120" s="5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</row>
    <row r="121" spans="1:54" s="1" customFormat="1" ht="15.75">
      <c r="A121" s="173" t="s">
        <v>988</v>
      </c>
      <c r="B121" s="24"/>
      <c r="C121" s="24"/>
      <c r="D121" s="24"/>
      <c r="E121" s="3"/>
      <c r="F121" s="14"/>
      <c r="G121" s="76"/>
      <c r="H121" s="76"/>
      <c r="I121" s="95"/>
      <c r="J121" s="5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</row>
    <row r="122" spans="1:54" s="1" customFormat="1" ht="15.75">
      <c r="A122" s="173" t="s">
        <v>1028</v>
      </c>
      <c r="B122" s="24"/>
      <c r="C122" s="24"/>
      <c r="D122" s="24"/>
      <c r="E122" s="3"/>
      <c r="F122" s="14"/>
      <c r="G122" s="76"/>
      <c r="H122" s="76"/>
      <c r="I122" s="95"/>
      <c r="J122" s="5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</row>
    <row r="123" spans="1:54" s="1" customFormat="1" ht="15.75">
      <c r="A123" s="173" t="s">
        <v>989</v>
      </c>
      <c r="B123" s="24"/>
      <c r="C123" s="24"/>
      <c r="D123" s="24"/>
      <c r="E123" s="3"/>
      <c r="F123" s="14"/>
      <c r="G123" s="76"/>
      <c r="H123" s="76"/>
      <c r="I123" s="95"/>
      <c r="J123" s="5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</row>
    <row r="124" spans="1:54" s="1" customFormat="1" ht="15.75">
      <c r="A124" s="174" t="s">
        <v>562</v>
      </c>
      <c r="B124" s="24"/>
      <c r="C124" s="24" t="s">
        <v>357</v>
      </c>
      <c r="D124" s="24" t="s">
        <v>563</v>
      </c>
      <c r="E124" s="3">
        <v>1.15</v>
      </c>
      <c r="F124" s="14">
        <f>IF(D124="ar-06",15,IF(D124="op-02",4.31,IF(D124="op-01",6.89)))</f>
        <v>15</v>
      </c>
      <c r="G124" s="25">
        <f>E124*F124</f>
        <v>17.25</v>
      </c>
      <c r="I124" s="95">
        <f>SUM(G124:H126)</f>
        <v>31.0249</v>
      </c>
      <c r="J124" s="53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</row>
    <row r="125" spans="1:54" s="1" customFormat="1" ht="15.75">
      <c r="A125" s="174" t="s">
        <v>289</v>
      </c>
      <c r="B125" s="24"/>
      <c r="C125" s="24" t="s">
        <v>228</v>
      </c>
      <c r="D125" s="24" t="s">
        <v>290</v>
      </c>
      <c r="E125" s="3">
        <v>0.41</v>
      </c>
      <c r="F125" s="14">
        <f>+C138</f>
        <v>6.89</v>
      </c>
      <c r="H125" s="25">
        <f>E125*F125</f>
        <v>2.8248999999999995</v>
      </c>
      <c r="I125" s="95"/>
      <c r="J125" s="53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</row>
    <row r="126" spans="1:54" s="1" customFormat="1" ht="15.75">
      <c r="A126" s="174" t="s">
        <v>227</v>
      </c>
      <c r="B126" s="24"/>
      <c r="C126" s="24" t="s">
        <v>228</v>
      </c>
      <c r="D126" s="24" t="s">
        <v>229</v>
      </c>
      <c r="E126" s="3">
        <v>2.5</v>
      </c>
      <c r="F126" s="14">
        <f>+C139</f>
        <v>4.38</v>
      </c>
      <c r="H126" s="25">
        <f>E126*F126</f>
        <v>10.95</v>
      </c>
      <c r="I126" s="95"/>
      <c r="J126" s="53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</row>
    <row r="127" spans="1:10" ht="16.5" thickBot="1">
      <c r="A127" s="90"/>
      <c r="B127" s="72"/>
      <c r="C127" s="28"/>
      <c r="D127" s="28"/>
      <c r="E127" s="8"/>
      <c r="F127" s="73"/>
      <c r="G127" s="67">
        <f>E124*F124</f>
        <v>17.25</v>
      </c>
      <c r="H127" s="67">
        <f>SUM(H125:H126)</f>
        <v>13.774899999999999</v>
      </c>
      <c r="I127" s="88"/>
      <c r="J127" s="54"/>
    </row>
    <row r="128" spans="1:10" ht="16.5" thickTop="1">
      <c r="A128" s="168">
        <v>13.8</v>
      </c>
      <c r="B128" s="113"/>
      <c r="C128" s="69"/>
      <c r="D128" s="69"/>
      <c r="E128" s="70"/>
      <c r="F128" s="139"/>
      <c r="G128" s="115"/>
      <c r="H128" s="115"/>
      <c r="I128" s="89"/>
      <c r="J128" s="203"/>
    </row>
    <row r="129" spans="1:54" s="1" customFormat="1" ht="15.75">
      <c r="A129" s="173" t="s">
        <v>990</v>
      </c>
      <c r="B129" s="24"/>
      <c r="C129" s="24"/>
      <c r="D129" s="24"/>
      <c r="E129" s="3"/>
      <c r="F129" s="14"/>
      <c r="G129" s="85"/>
      <c r="H129" s="85"/>
      <c r="I129" s="95"/>
      <c r="J129" s="53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</row>
    <row r="130" spans="1:54" s="1" customFormat="1" ht="15.75">
      <c r="A130" s="173" t="s">
        <v>991</v>
      </c>
      <c r="B130" s="24"/>
      <c r="C130" s="24"/>
      <c r="D130" s="24"/>
      <c r="E130" s="3"/>
      <c r="F130" s="14"/>
      <c r="G130" s="85"/>
      <c r="H130" s="85"/>
      <c r="I130" s="95"/>
      <c r="J130" s="53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</row>
    <row r="131" spans="1:54" s="1" customFormat="1" ht="15.75">
      <c r="A131" s="173" t="s">
        <v>992</v>
      </c>
      <c r="B131" s="24"/>
      <c r="C131" s="24"/>
      <c r="D131" s="24"/>
      <c r="E131" s="3"/>
      <c r="F131" s="14"/>
      <c r="G131" s="85"/>
      <c r="H131" s="85"/>
      <c r="I131" s="95"/>
      <c r="J131" s="53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</row>
    <row r="132" spans="1:54" s="1" customFormat="1" ht="15.75">
      <c r="A132" s="174" t="s">
        <v>289</v>
      </c>
      <c r="B132" s="24"/>
      <c r="C132" s="24" t="s">
        <v>228</v>
      </c>
      <c r="D132" s="24" t="s">
        <v>290</v>
      </c>
      <c r="E132" s="3">
        <v>0.2</v>
      </c>
      <c r="F132" s="14">
        <f>+C138</f>
        <v>6.89</v>
      </c>
      <c r="H132" s="25">
        <f>E132*F132</f>
        <v>1.3780000000000001</v>
      </c>
      <c r="I132" s="95">
        <f>SUM(H132:H133)</f>
        <v>1.816</v>
      </c>
      <c r="J132" s="53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</row>
    <row r="133" spans="1:54" s="1" customFormat="1" ht="15.75">
      <c r="A133" s="174" t="s">
        <v>227</v>
      </c>
      <c r="B133" s="24"/>
      <c r="C133" s="24" t="s">
        <v>228</v>
      </c>
      <c r="D133" s="24" t="s">
        <v>229</v>
      </c>
      <c r="E133" s="3">
        <v>0.1</v>
      </c>
      <c r="F133" s="14">
        <f>+C139</f>
        <v>4.38</v>
      </c>
      <c r="H133" s="25">
        <f>E133*F133</f>
        <v>0.438</v>
      </c>
      <c r="I133" s="95"/>
      <c r="J133" s="53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</row>
    <row r="134" spans="1:10" ht="16.5" thickBot="1">
      <c r="A134" s="205"/>
      <c r="B134" s="34"/>
      <c r="C134" s="34"/>
      <c r="D134" s="34"/>
      <c r="E134" s="18"/>
      <c r="F134" s="16"/>
      <c r="G134" s="66">
        <v>0</v>
      </c>
      <c r="H134" s="253">
        <f>SUM(H132:H133)</f>
        <v>1.816</v>
      </c>
      <c r="I134" s="94"/>
      <c r="J134" s="20"/>
    </row>
    <row r="135" spans="1:10" ht="16.5" thickTop="1">
      <c r="A135" s="22"/>
      <c r="B135" s="40"/>
      <c r="C135" s="40"/>
      <c r="D135" s="40"/>
      <c r="E135" s="23"/>
      <c r="F135" s="21"/>
      <c r="G135" s="21"/>
      <c r="H135" s="21"/>
      <c r="I135" s="21"/>
      <c r="J135" s="21"/>
    </row>
    <row r="136" spans="1:10" ht="15.75">
      <c r="A136" s="22"/>
      <c r="B136" s="40"/>
      <c r="C136" s="40"/>
      <c r="D136" s="40"/>
      <c r="E136" s="23"/>
      <c r="F136" s="21"/>
      <c r="G136" s="21"/>
      <c r="H136" s="21"/>
      <c r="I136" s="21"/>
      <c r="J136" s="21"/>
    </row>
    <row r="137" spans="1:10" ht="15.75">
      <c r="A137" s="22"/>
      <c r="B137" s="40"/>
      <c r="C137" s="40"/>
      <c r="D137" s="40"/>
      <c r="E137" s="23"/>
      <c r="F137" s="21"/>
      <c r="G137" s="21"/>
      <c r="H137" s="21"/>
      <c r="I137" s="22"/>
      <c r="J137" s="40"/>
    </row>
    <row r="138" spans="1:10" ht="15.75">
      <c r="A138" s="22"/>
      <c r="B138" s="301" t="s">
        <v>290</v>
      </c>
      <c r="C138" s="40">
        <v>6.89</v>
      </c>
      <c r="D138" s="40"/>
      <c r="E138" s="23"/>
      <c r="F138" s="21"/>
      <c r="G138" s="21"/>
      <c r="H138" s="21"/>
      <c r="I138" s="22"/>
      <c r="J138" s="40"/>
    </row>
    <row r="139" spans="1:10" ht="15.75">
      <c r="A139" s="22"/>
      <c r="B139" s="301" t="s">
        <v>229</v>
      </c>
      <c r="C139" s="40">
        <v>4.38</v>
      </c>
      <c r="D139" s="40"/>
      <c r="E139" s="23"/>
      <c r="F139" s="21"/>
      <c r="G139" s="21"/>
      <c r="H139" s="21"/>
      <c r="I139" s="22"/>
      <c r="J139" s="40"/>
    </row>
    <row r="140" spans="1:10" ht="15.75">
      <c r="A140" s="22"/>
      <c r="B140" s="40"/>
      <c r="C140" s="40"/>
      <c r="D140" s="40"/>
      <c r="E140" s="23"/>
      <c r="F140" s="21"/>
      <c r="G140" s="21"/>
      <c r="H140" s="21"/>
      <c r="I140" s="22"/>
      <c r="J140" s="40"/>
    </row>
    <row r="141" spans="1:10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</sheetData>
  <printOptions/>
  <pageMargins left="0.037401575" right="0.037401575" top="0.27" bottom="1" header="1.14" footer="0.25"/>
  <pageSetup horizontalDpi="200" verticalDpi="200" orientation="landscape" paperSize="5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2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217" sqref="C217"/>
    </sheetView>
  </sheetViews>
  <sheetFormatPr defaultColWidth="11.421875" defaultRowHeight="12.75"/>
  <cols>
    <col min="1" max="1" width="55.57421875" style="61" customWidth="1"/>
    <col min="2" max="2" width="5.28125" style="0" customWidth="1"/>
    <col min="3" max="3" width="7.7109375" style="0" customWidth="1"/>
    <col min="4" max="4" width="8.28125" style="0" customWidth="1"/>
    <col min="5" max="5" width="10.28125" style="0" customWidth="1"/>
    <col min="6" max="6" width="9.7109375" style="0" customWidth="1"/>
    <col min="7" max="7" width="10.7109375" style="0" customWidth="1"/>
    <col min="8" max="8" width="9.7109375" style="0" customWidth="1"/>
    <col min="9" max="9" width="10.7109375" style="0" customWidth="1"/>
    <col min="10" max="10" width="63.00390625" style="0" bestFit="1" customWidth="1"/>
  </cols>
  <sheetData>
    <row r="1" spans="1:10" ht="17.25" thickBot="1" thickTop="1">
      <c r="A1" s="275" t="s">
        <v>993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s="1" customFormat="1" ht="16.5" thickTop="1">
      <c r="A3" s="188">
        <v>14.1</v>
      </c>
      <c r="B3" s="125"/>
      <c r="C3" s="125"/>
      <c r="D3" s="126"/>
      <c r="E3" s="126"/>
      <c r="F3" s="126"/>
      <c r="G3" s="125"/>
      <c r="H3" s="126"/>
      <c r="I3" s="125"/>
      <c r="J3" s="236" t="s">
        <v>762</v>
      </c>
    </row>
    <row r="4" spans="1:10" s="1" customFormat="1" ht="15.75">
      <c r="A4" s="171" t="s">
        <v>994</v>
      </c>
      <c r="B4" s="125"/>
      <c r="C4" s="125"/>
      <c r="D4" s="126"/>
      <c r="E4" s="126"/>
      <c r="F4" s="126"/>
      <c r="G4" s="125"/>
      <c r="H4" s="126"/>
      <c r="I4" s="125"/>
      <c r="J4" s="236" t="s">
        <v>763</v>
      </c>
    </row>
    <row r="5" spans="1:10" s="1" customFormat="1" ht="15.75">
      <c r="A5" s="171" t="s">
        <v>995</v>
      </c>
      <c r="B5" s="125"/>
      <c r="C5" s="125"/>
      <c r="D5" s="126"/>
      <c r="E5" s="126"/>
      <c r="F5" s="126"/>
      <c r="G5" s="125"/>
      <c r="H5" s="126"/>
      <c r="I5" s="125"/>
      <c r="J5" s="236" t="s">
        <v>996</v>
      </c>
    </row>
    <row r="6" spans="1:10" s="1" customFormat="1" ht="15.75">
      <c r="A6" s="174" t="s">
        <v>624</v>
      </c>
      <c r="B6" s="24"/>
      <c r="C6" s="24" t="s">
        <v>287</v>
      </c>
      <c r="D6" s="24" t="s">
        <v>355</v>
      </c>
      <c r="E6" s="3">
        <v>1.71</v>
      </c>
      <c r="F6" s="14">
        <f>IF(D6="ag-01",0.12,IF(D6="ag-02",0.09,IF(D6="ar-03",12.03,IF(D6="ar-08",16,IF(D6="op-02",4.31,IF(D6="op-01",6.89))))))</f>
        <v>0.12</v>
      </c>
      <c r="G6" s="25">
        <f>E6*F6</f>
        <v>0.2052</v>
      </c>
      <c r="I6" s="95">
        <f>SUM(G6:H11)</f>
        <v>7.55671</v>
      </c>
      <c r="J6" s="5"/>
    </row>
    <row r="7" spans="1:10" s="1" customFormat="1" ht="15.75">
      <c r="A7" s="174" t="s">
        <v>557</v>
      </c>
      <c r="B7" s="24"/>
      <c r="C7" s="24" t="s">
        <v>287</v>
      </c>
      <c r="D7" s="24" t="s">
        <v>377</v>
      </c>
      <c r="E7" s="3">
        <v>3.9</v>
      </c>
      <c r="F7" s="14">
        <f>IF(D7="ag-01",0.12,IF(D7="ag-02",0.09,IF(D7="ar-03",12.03,IF(D7="ar-08",16,IF(D7="op-02",4.31,IF(D7="op-01",6.89))))))</f>
        <v>0.09</v>
      </c>
      <c r="G7" s="25">
        <f>E7*F7</f>
        <v>0.351</v>
      </c>
      <c r="I7" s="95"/>
      <c r="J7" s="5"/>
    </row>
    <row r="8" spans="1:10" s="1" customFormat="1" ht="15.75">
      <c r="A8" s="174" t="s">
        <v>559</v>
      </c>
      <c r="B8" s="24"/>
      <c r="C8" s="24" t="s">
        <v>357</v>
      </c>
      <c r="D8" s="24" t="s">
        <v>560</v>
      </c>
      <c r="E8" s="3">
        <v>0.017</v>
      </c>
      <c r="F8" s="14">
        <f>IF(D8="ag-01",0.12,IF(D8="ag-02",0.09,IF(D8="ar-03",12.03,IF(D8="ar-08",16,IF(D8="op-02",4.31,IF(D8="op-01",6.89))))))</f>
        <v>12.03</v>
      </c>
      <c r="G8" s="25">
        <f>E8*F8</f>
        <v>0.20451</v>
      </c>
      <c r="I8" s="95"/>
      <c r="J8" s="5"/>
    </row>
    <row r="9" spans="1:10" s="1" customFormat="1" ht="15.75">
      <c r="A9" s="174" t="s">
        <v>778</v>
      </c>
      <c r="B9" s="24"/>
      <c r="C9" s="24" t="s">
        <v>357</v>
      </c>
      <c r="D9" s="24" t="s">
        <v>779</v>
      </c>
      <c r="E9" s="3">
        <v>0.006</v>
      </c>
      <c r="F9" s="14">
        <f>IF(D9="ag-01",0.12,IF(D9="ag-02",0.09,IF(D9="ar-03",12.03,IF(D9="ar-08",16,IF(D9="op-02",4.31,IF(D9="op-01",6.89))))))</f>
        <v>16</v>
      </c>
      <c r="G9" s="25">
        <f>E9*F9</f>
        <v>0.096</v>
      </c>
      <c r="I9" s="95"/>
      <c r="J9" s="5"/>
    </row>
    <row r="10" spans="1:10" s="1" customFormat="1" ht="15.75">
      <c r="A10" s="174" t="s">
        <v>289</v>
      </c>
      <c r="B10" s="24"/>
      <c r="C10" s="24" t="s">
        <v>228</v>
      </c>
      <c r="D10" s="24" t="s">
        <v>290</v>
      </c>
      <c r="E10" s="3">
        <v>0.68</v>
      </c>
      <c r="F10" s="14">
        <f>+C215</f>
        <v>6.89</v>
      </c>
      <c r="H10" s="25">
        <f>E10*F10</f>
        <v>4.6852</v>
      </c>
      <c r="I10" s="95"/>
      <c r="J10" s="5"/>
    </row>
    <row r="11" spans="1:10" s="1" customFormat="1" ht="15.75">
      <c r="A11" s="174" t="s">
        <v>227</v>
      </c>
      <c r="B11" s="24"/>
      <c r="C11" s="24" t="s">
        <v>228</v>
      </c>
      <c r="D11" s="24" t="s">
        <v>229</v>
      </c>
      <c r="E11" s="3">
        <v>0.46</v>
      </c>
      <c r="F11" s="14">
        <f>+C216</f>
        <v>4.38</v>
      </c>
      <c r="H11" s="25">
        <f>E11*F11</f>
        <v>2.0148</v>
      </c>
      <c r="I11" s="95"/>
      <c r="J11" s="5"/>
    </row>
    <row r="12" spans="1:10" ht="16.5" thickBot="1">
      <c r="A12" s="90"/>
      <c r="B12" s="72"/>
      <c r="C12" s="28"/>
      <c r="D12" s="28"/>
      <c r="E12" s="8"/>
      <c r="F12" s="73"/>
      <c r="G12" s="252">
        <f>SUM(G6:G9)</f>
        <v>0.85671</v>
      </c>
      <c r="H12" s="252">
        <f>SUM(H10:H11)</f>
        <v>6.7</v>
      </c>
      <c r="I12" s="88"/>
      <c r="J12" s="11"/>
    </row>
    <row r="13" spans="1:10" ht="16.5" thickTop="1">
      <c r="A13" s="168">
        <v>14.2</v>
      </c>
      <c r="B13" s="113"/>
      <c r="C13" s="69"/>
      <c r="D13" s="69"/>
      <c r="E13" s="70"/>
      <c r="F13" s="139"/>
      <c r="G13" s="115"/>
      <c r="H13" s="115"/>
      <c r="I13" s="89"/>
      <c r="J13" s="71"/>
    </row>
    <row r="14" spans="1:10" s="1" customFormat="1" ht="15.75">
      <c r="A14" s="173" t="s">
        <v>997</v>
      </c>
      <c r="B14" s="24"/>
      <c r="C14" s="24"/>
      <c r="D14" s="24"/>
      <c r="E14" s="3"/>
      <c r="F14" s="14"/>
      <c r="G14" s="85"/>
      <c r="H14" s="85"/>
      <c r="I14" s="95"/>
      <c r="J14" s="5"/>
    </row>
    <row r="15" spans="1:10" s="1" customFormat="1" ht="15.75">
      <c r="A15" s="173" t="s">
        <v>998</v>
      </c>
      <c r="B15" s="24"/>
      <c r="C15" s="24"/>
      <c r="D15" s="24"/>
      <c r="E15" s="3"/>
      <c r="F15" s="14"/>
      <c r="G15" s="85"/>
      <c r="H15" s="85"/>
      <c r="I15" s="95"/>
      <c r="J15" s="5"/>
    </row>
    <row r="16" spans="1:10" s="1" customFormat="1" ht="15.75">
      <c r="A16" s="172" t="s">
        <v>999</v>
      </c>
      <c r="B16" s="24"/>
      <c r="C16" s="24" t="s">
        <v>287</v>
      </c>
      <c r="D16" s="24" t="s">
        <v>355</v>
      </c>
      <c r="E16" s="3">
        <v>6.62</v>
      </c>
      <c r="F16" s="14">
        <f>IF(D16="ag-01",0.12,IF(D16="ag-02",0.09,IF(D16="ar-03",12.03,IF(D16="ar-08",16,IF(D16="op-02",4.31,IF(D16="op-01",6.89))))))</f>
        <v>0.12</v>
      </c>
      <c r="G16" s="25">
        <f>E16*F16</f>
        <v>0.7944</v>
      </c>
      <c r="I16" s="95">
        <f>SUM(G16:H20)</f>
        <v>8.743509999999999</v>
      </c>
      <c r="J16" s="5"/>
    </row>
    <row r="17" spans="1:10" s="1" customFormat="1" ht="15.75">
      <c r="A17" s="174" t="s">
        <v>557</v>
      </c>
      <c r="B17" s="24"/>
      <c r="C17" s="24" t="s">
        <v>287</v>
      </c>
      <c r="D17" s="24" t="s">
        <v>377</v>
      </c>
      <c r="E17" s="3">
        <v>3.73</v>
      </c>
      <c r="F17" s="14">
        <f>IF(D17="ag-01",0.12,IF(D17="ag-02",0.09,IF(D17="ar-03",12.03,IF(D17="ar-08",16,IF(D17="op-02",4.31,IF(D17="op-01",6.89))))))</f>
        <v>0.09</v>
      </c>
      <c r="G17" s="25">
        <f>E17*F17</f>
        <v>0.3357</v>
      </c>
      <c r="I17" s="95"/>
      <c r="J17" s="5"/>
    </row>
    <row r="18" spans="1:10" s="1" customFormat="1" ht="15.75">
      <c r="A18" s="174" t="s">
        <v>559</v>
      </c>
      <c r="B18" s="24"/>
      <c r="C18" s="24" t="s">
        <v>357</v>
      </c>
      <c r="D18" s="24" t="s">
        <v>560</v>
      </c>
      <c r="E18" s="3">
        <v>0.027</v>
      </c>
      <c r="F18" s="14">
        <f>IF(D18="ag-01",0.12,IF(D18="ag-02",0.09,IF(D18="ar-03",12.03,IF(D18="ar-08",16,IF(D18="op-02",4.31,IF(D18="op-01",6.89))))))</f>
        <v>12.03</v>
      </c>
      <c r="G18" s="25">
        <f>E18*F18</f>
        <v>0.32481</v>
      </c>
      <c r="I18" s="95"/>
      <c r="J18" s="5"/>
    </row>
    <row r="19" spans="1:10" s="1" customFormat="1" ht="15.75">
      <c r="A19" s="174" t="s">
        <v>289</v>
      </c>
      <c r="B19" s="24"/>
      <c r="C19" s="24" t="s">
        <v>228</v>
      </c>
      <c r="D19" s="24" t="s">
        <v>290</v>
      </c>
      <c r="E19" s="3">
        <v>0.74</v>
      </c>
      <c r="F19" s="14">
        <f>+C215</f>
        <v>6.89</v>
      </c>
      <c r="H19" s="25">
        <f>E19*F19</f>
        <v>5.098599999999999</v>
      </c>
      <c r="I19" s="95"/>
      <c r="J19" s="5"/>
    </row>
    <row r="20" spans="1:10" s="1" customFormat="1" ht="15.75">
      <c r="A20" s="174" t="s">
        <v>227</v>
      </c>
      <c r="B20" s="24"/>
      <c r="C20" s="24" t="s">
        <v>228</v>
      </c>
      <c r="D20" s="24" t="s">
        <v>229</v>
      </c>
      <c r="E20" s="3">
        <v>0.5</v>
      </c>
      <c r="F20" s="14">
        <f>+C216</f>
        <v>4.38</v>
      </c>
      <c r="H20" s="25">
        <f>E20*F20</f>
        <v>2.19</v>
      </c>
      <c r="I20" s="95"/>
      <c r="J20" s="5"/>
    </row>
    <row r="21" spans="1:10" ht="16.5" thickBot="1">
      <c r="A21" s="90"/>
      <c r="B21" s="72"/>
      <c r="C21" s="28"/>
      <c r="D21" s="28"/>
      <c r="E21" s="8"/>
      <c r="F21" s="73"/>
      <c r="G21" s="252">
        <f>SUM(G16:G18)</f>
        <v>1.4549100000000001</v>
      </c>
      <c r="H21" s="252">
        <f>SUM(H19:H20)</f>
        <v>7.288599999999999</v>
      </c>
      <c r="I21" s="88"/>
      <c r="J21" s="11"/>
    </row>
    <row r="22" spans="1:10" ht="16.5" thickTop="1">
      <c r="A22" s="168">
        <v>14.3</v>
      </c>
      <c r="B22" s="113"/>
      <c r="C22" s="69"/>
      <c r="D22" s="69"/>
      <c r="E22" s="70"/>
      <c r="F22" s="139"/>
      <c r="G22" s="115"/>
      <c r="H22" s="115"/>
      <c r="I22" s="89"/>
      <c r="J22" s="71"/>
    </row>
    <row r="23" spans="1:10" s="1" customFormat="1" ht="15.75">
      <c r="A23" s="173" t="s">
        <v>1000</v>
      </c>
      <c r="B23" s="24"/>
      <c r="C23" s="24"/>
      <c r="D23" s="24"/>
      <c r="E23" s="3"/>
      <c r="F23" s="14"/>
      <c r="G23" s="85"/>
      <c r="H23" s="85"/>
      <c r="I23" s="95"/>
      <c r="J23" s="5"/>
    </row>
    <row r="24" spans="1:10" s="1" customFormat="1" ht="15.75">
      <c r="A24" s="173" t="s">
        <v>1001</v>
      </c>
      <c r="B24" s="24"/>
      <c r="C24" s="24"/>
      <c r="D24" s="24"/>
      <c r="E24" s="3"/>
      <c r="F24" s="14"/>
      <c r="G24" s="85"/>
      <c r="H24" s="85"/>
      <c r="I24" s="95"/>
      <c r="J24" s="5"/>
    </row>
    <row r="25" spans="1:10" s="1" customFormat="1" ht="15.75">
      <c r="A25" s="172" t="s">
        <v>999</v>
      </c>
      <c r="B25" s="24"/>
      <c r="C25" s="24" t="s">
        <v>287</v>
      </c>
      <c r="D25" s="24" t="s">
        <v>355</v>
      </c>
      <c r="E25" s="3">
        <v>1.08</v>
      </c>
      <c r="F25" s="14">
        <f>IF(D25="ag-01",0.12,IF(D25="ag-02",0.09,IF(D25="ar-03",12.03,IF(D25="ar-08",16,IF(D25="op-02",4.31,IF(D25="op-01",6.89))))))</f>
        <v>0.12</v>
      </c>
      <c r="G25" s="25">
        <f>E25*F25</f>
        <v>0.1296</v>
      </c>
      <c r="I25" s="95">
        <f>SUM(G25:H29)</f>
        <v>6.31755</v>
      </c>
      <c r="J25" s="5"/>
    </row>
    <row r="26" spans="1:10" s="1" customFormat="1" ht="15.75">
      <c r="A26" s="174" t="s">
        <v>557</v>
      </c>
      <c r="B26" s="24"/>
      <c r="C26" s="24" t="s">
        <v>287</v>
      </c>
      <c r="D26" s="24" t="s">
        <v>377</v>
      </c>
      <c r="E26" s="3">
        <v>4.88</v>
      </c>
      <c r="F26" s="14">
        <f>IF(D26="ag-01",0.12,IF(D26="ag-02",0.09,IF(D26="ar-03",12.03,IF(D26="ar-08",16,IF(D26="op-02",4.31,IF(D26="op-01",6.89))))))</f>
        <v>0.09</v>
      </c>
      <c r="G26" s="25">
        <f>E26*F26</f>
        <v>0.4392</v>
      </c>
      <c r="I26" s="95"/>
      <c r="J26" s="5"/>
    </row>
    <row r="27" spans="1:10" s="1" customFormat="1" ht="15.75">
      <c r="A27" s="174" t="s">
        <v>559</v>
      </c>
      <c r="B27" s="24"/>
      <c r="C27" s="24" t="s">
        <v>357</v>
      </c>
      <c r="D27" s="24" t="s">
        <v>560</v>
      </c>
      <c r="E27" s="3">
        <v>0.025</v>
      </c>
      <c r="F27" s="14">
        <f>IF(D27="ag-01",0.12,IF(D27="ag-02",0.09,IF(D27="ar-03",12.03,IF(D27="ar-08",16,IF(D27="op-02",4.31,IF(D27="op-01",6.89))))))</f>
        <v>12.03</v>
      </c>
      <c r="G27" s="25">
        <f>E27*F27</f>
        <v>0.30075</v>
      </c>
      <c r="I27" s="95"/>
      <c r="J27" s="5"/>
    </row>
    <row r="28" spans="1:10" s="1" customFormat="1" ht="15.75">
      <c r="A28" s="174" t="s">
        <v>289</v>
      </c>
      <c r="B28" s="24"/>
      <c r="C28" s="24" t="s">
        <v>228</v>
      </c>
      <c r="D28" s="24" t="s">
        <v>290</v>
      </c>
      <c r="E28" s="3">
        <v>0.6</v>
      </c>
      <c r="F28" s="14">
        <f>+C215</f>
        <v>6.89</v>
      </c>
      <c r="H28" s="25">
        <f>E28*F28</f>
        <v>4.1339999999999995</v>
      </c>
      <c r="I28" s="95"/>
      <c r="J28" s="5"/>
    </row>
    <row r="29" spans="1:10" s="1" customFormat="1" ht="15.75">
      <c r="A29" s="174" t="s">
        <v>227</v>
      </c>
      <c r="B29" s="24"/>
      <c r="C29" s="24" t="s">
        <v>228</v>
      </c>
      <c r="D29" s="24" t="s">
        <v>229</v>
      </c>
      <c r="E29" s="3">
        <v>0.3</v>
      </c>
      <c r="F29" s="14">
        <f>+C216</f>
        <v>4.38</v>
      </c>
      <c r="H29" s="25">
        <f>E29*F29</f>
        <v>1.3139999999999998</v>
      </c>
      <c r="I29" s="95"/>
      <c r="J29" s="5"/>
    </row>
    <row r="30" spans="1:10" ht="16.5" thickBot="1">
      <c r="A30" s="90"/>
      <c r="B30" s="72"/>
      <c r="C30" s="28"/>
      <c r="D30" s="28"/>
      <c r="E30" s="8"/>
      <c r="F30" s="73"/>
      <c r="G30" s="252">
        <f>SUM(G25:G27)</f>
        <v>0.86955</v>
      </c>
      <c r="H30" s="252">
        <f>SUM(H28:H29)</f>
        <v>5.4479999999999995</v>
      </c>
      <c r="I30" s="88"/>
      <c r="J30" s="11"/>
    </row>
    <row r="31" spans="1:10" ht="16.5" thickTop="1">
      <c r="A31" s="168">
        <v>14.4</v>
      </c>
      <c r="B31" s="113"/>
      <c r="C31" s="69"/>
      <c r="D31" s="69"/>
      <c r="E31" s="70"/>
      <c r="F31" s="139"/>
      <c r="G31" s="115"/>
      <c r="H31" s="115"/>
      <c r="I31" s="89"/>
      <c r="J31" s="71"/>
    </row>
    <row r="32" spans="1:10" s="1" customFormat="1" ht="15.75">
      <c r="A32" s="173" t="s">
        <v>1000</v>
      </c>
      <c r="B32" s="24"/>
      <c r="C32" s="24"/>
      <c r="D32" s="24"/>
      <c r="E32" s="3"/>
      <c r="F32" s="14"/>
      <c r="G32" s="85"/>
      <c r="H32" s="85"/>
      <c r="I32" s="95"/>
      <c r="J32" s="5"/>
    </row>
    <row r="33" spans="1:10" s="1" customFormat="1" ht="15.75">
      <c r="A33" s="173" t="s">
        <v>1002</v>
      </c>
      <c r="B33" s="24"/>
      <c r="C33" s="24"/>
      <c r="D33" s="24"/>
      <c r="E33" s="3"/>
      <c r="F33" s="14"/>
      <c r="G33" s="85"/>
      <c r="H33" s="85"/>
      <c r="I33" s="95"/>
      <c r="J33" s="5"/>
    </row>
    <row r="34" spans="1:10" s="1" customFormat="1" ht="15.75">
      <c r="A34" s="173" t="s">
        <v>999</v>
      </c>
      <c r="B34" s="24"/>
      <c r="C34" s="24" t="s">
        <v>287</v>
      </c>
      <c r="D34" s="24" t="s">
        <v>355</v>
      </c>
      <c r="E34" s="3">
        <v>2.31</v>
      </c>
      <c r="F34" s="14">
        <f>IF(D34="ag-01",0.12,IF(D34="ag-02",0.09,IF(D34="ar-03",12.03,IF(D34="ar-08",16,IF(D34="op-02",4.31,IF(D34="op-01",6.89))))))</f>
        <v>0.12</v>
      </c>
      <c r="G34" s="25">
        <f>E34*F34</f>
        <v>0.2772</v>
      </c>
      <c r="I34" s="95">
        <f>SUM(G34:H38)</f>
        <v>6.4698899999999995</v>
      </c>
      <c r="J34" s="5"/>
    </row>
    <row r="35" spans="1:10" s="1" customFormat="1" ht="15.75">
      <c r="A35" s="174" t="s">
        <v>557</v>
      </c>
      <c r="B35" s="24"/>
      <c r="C35" s="24" t="s">
        <v>287</v>
      </c>
      <c r="D35" s="24" t="s">
        <v>377</v>
      </c>
      <c r="E35" s="3">
        <v>5.2</v>
      </c>
      <c r="F35" s="14">
        <f>IF(D35="ag-01",0.12,IF(D35="ag-02",0.09,IF(D35="ar-03",12.03,IF(D35="ar-08",16,IF(D35="op-02",4.31,IF(D35="op-01",6.89))))))</f>
        <v>0.09</v>
      </c>
      <c r="G35" s="25">
        <f>E35*F35</f>
        <v>0.46799999999999997</v>
      </c>
      <c r="I35" s="95"/>
      <c r="J35" s="5"/>
    </row>
    <row r="36" spans="1:10" s="1" customFormat="1" ht="15.75">
      <c r="A36" s="174" t="s">
        <v>559</v>
      </c>
      <c r="B36" s="24"/>
      <c r="C36" s="24" t="s">
        <v>357</v>
      </c>
      <c r="D36" s="24" t="s">
        <v>560</v>
      </c>
      <c r="E36" s="3">
        <v>0.023</v>
      </c>
      <c r="F36" s="14">
        <f>IF(D36="ag-01",0.12,IF(D36="ag-02",0.09,IF(D36="ar-03",12.03,IF(D36="ar-08",16,IF(D36="op-02",4.31,IF(D36="op-01",6.89))))))</f>
        <v>12.03</v>
      </c>
      <c r="G36" s="25">
        <f>E36*F36</f>
        <v>0.27669</v>
      </c>
      <c r="I36" s="95"/>
      <c r="J36" s="5"/>
    </row>
    <row r="37" spans="1:10" s="1" customFormat="1" ht="15.75">
      <c r="A37" s="174" t="s">
        <v>289</v>
      </c>
      <c r="B37" s="24"/>
      <c r="C37" s="24" t="s">
        <v>228</v>
      </c>
      <c r="D37" s="24" t="s">
        <v>290</v>
      </c>
      <c r="E37" s="3">
        <v>0.6</v>
      </c>
      <c r="F37" s="14">
        <f>+C215</f>
        <v>6.89</v>
      </c>
      <c r="H37" s="25">
        <f>E37*F37</f>
        <v>4.1339999999999995</v>
      </c>
      <c r="I37" s="95"/>
      <c r="J37" s="5"/>
    </row>
    <row r="38" spans="1:10" s="1" customFormat="1" ht="15.75">
      <c r="A38" s="174" t="s">
        <v>227</v>
      </c>
      <c r="B38" s="24"/>
      <c r="C38" s="24" t="s">
        <v>228</v>
      </c>
      <c r="D38" s="24" t="s">
        <v>229</v>
      </c>
      <c r="E38" s="3">
        <v>0.3</v>
      </c>
      <c r="F38" s="14">
        <f>+C216</f>
        <v>4.38</v>
      </c>
      <c r="H38" s="25">
        <f>E38*F38</f>
        <v>1.3139999999999998</v>
      </c>
      <c r="I38" s="95"/>
      <c r="J38" s="5"/>
    </row>
    <row r="39" spans="1:10" ht="16.5" thickBot="1">
      <c r="A39" s="90"/>
      <c r="B39" s="72"/>
      <c r="C39" s="28"/>
      <c r="D39" s="28"/>
      <c r="E39" s="8"/>
      <c r="F39" s="73"/>
      <c r="G39" s="252">
        <f>SUM(G34:G36)</f>
        <v>1.02189</v>
      </c>
      <c r="H39" s="252">
        <f>SUM(H37:H38)</f>
        <v>5.4479999999999995</v>
      </c>
      <c r="I39" s="88"/>
      <c r="J39" s="11"/>
    </row>
    <row r="40" spans="1:10" ht="16.5" thickTop="1">
      <c r="A40" s="168">
        <v>14.5</v>
      </c>
      <c r="B40" s="113"/>
      <c r="C40" s="69"/>
      <c r="D40" s="69"/>
      <c r="E40" s="70"/>
      <c r="F40" s="139"/>
      <c r="G40" s="115"/>
      <c r="H40" s="115"/>
      <c r="I40" s="89"/>
      <c r="J40" s="71"/>
    </row>
    <row r="41" spans="1:10" s="1" customFormat="1" ht="15.75">
      <c r="A41" s="173" t="s">
        <v>1003</v>
      </c>
      <c r="B41" s="24"/>
      <c r="C41" s="24"/>
      <c r="D41" s="24"/>
      <c r="E41" s="3"/>
      <c r="F41" s="14"/>
      <c r="G41" s="85"/>
      <c r="H41" s="85"/>
      <c r="I41" s="95"/>
      <c r="J41" s="5"/>
    </row>
    <row r="42" spans="1:10" s="1" customFormat="1" ht="15.75">
      <c r="A42" s="173" t="s">
        <v>1004</v>
      </c>
      <c r="B42" s="24"/>
      <c r="C42" s="24" t="s">
        <v>287</v>
      </c>
      <c r="D42" s="24" t="s">
        <v>355</v>
      </c>
      <c r="E42" s="3">
        <v>1.22</v>
      </c>
      <c r="F42" s="14">
        <f>IF(D42="ag-01",0.12,IF(D42="ag-02",0.09,IF(D42="ar-03",12.03,IF(D42="ar-08",16,IF(D42="op-02",4.31,IF(D42="op-01",6.89))))))</f>
        <v>0.12</v>
      </c>
      <c r="G42" s="25">
        <f>E42*F42</f>
        <v>0.1464</v>
      </c>
      <c r="I42" s="95">
        <f>SUM(G42:H46)</f>
        <v>5.45645</v>
      </c>
      <c r="J42" s="5"/>
    </row>
    <row r="43" spans="1:10" s="1" customFormat="1" ht="15.75">
      <c r="A43" s="174" t="s">
        <v>557</v>
      </c>
      <c r="B43" s="24"/>
      <c r="C43" s="24" t="s">
        <v>287</v>
      </c>
      <c r="D43" s="24" t="s">
        <v>377</v>
      </c>
      <c r="E43" s="3">
        <v>5.57</v>
      </c>
      <c r="F43" s="14">
        <f>IF(D43="ag-01",0.12,IF(D43="ag-02",0.09,IF(D43="ar-03",12.03,IF(D43="ar-08",16,IF(D43="op-02",4.31,IF(D43="op-01",6.89))))))</f>
        <v>0.09</v>
      </c>
      <c r="G43" s="25">
        <f>E43*F43</f>
        <v>0.5013</v>
      </c>
      <c r="I43" s="95"/>
      <c r="J43" s="5"/>
    </row>
    <row r="44" spans="1:10" s="1" customFormat="1" ht="15.75">
      <c r="A44" s="174" t="s">
        <v>559</v>
      </c>
      <c r="B44" s="24"/>
      <c r="C44" s="24" t="s">
        <v>357</v>
      </c>
      <c r="D44" s="24" t="s">
        <v>560</v>
      </c>
      <c r="E44" s="3">
        <v>0.025</v>
      </c>
      <c r="F44" s="14">
        <f>IF(D44="ag-01",0.12,IF(D44="ag-02",0.09,IF(D44="ar-03",12.03,IF(D44="ar-08",16,IF(D44="op-02",4.31,IF(D44="op-01",6.89))))))</f>
        <v>12.03</v>
      </c>
      <c r="G44" s="25">
        <f>E44*F44</f>
        <v>0.30075</v>
      </c>
      <c r="I44" s="95"/>
      <c r="J44" s="5"/>
    </row>
    <row r="45" spans="1:10" s="1" customFormat="1" ht="15.75">
      <c r="A45" s="174" t="s">
        <v>289</v>
      </c>
      <c r="B45" s="24"/>
      <c r="C45" s="24" t="s">
        <v>228</v>
      </c>
      <c r="D45" s="24" t="s">
        <v>290</v>
      </c>
      <c r="E45" s="3">
        <v>0.4</v>
      </c>
      <c r="F45" s="14">
        <f>+C215</f>
        <v>6.89</v>
      </c>
      <c r="H45" s="25">
        <f>E45*F45</f>
        <v>2.7560000000000002</v>
      </c>
      <c r="I45" s="95"/>
      <c r="J45" s="5"/>
    </row>
    <row r="46" spans="1:10" s="1" customFormat="1" ht="15.75">
      <c r="A46" s="174" t="s">
        <v>227</v>
      </c>
      <c r="B46" s="24"/>
      <c r="C46" s="24" t="s">
        <v>228</v>
      </c>
      <c r="D46" s="24" t="s">
        <v>229</v>
      </c>
      <c r="E46" s="3">
        <v>0.4</v>
      </c>
      <c r="F46" s="14">
        <f>+C216</f>
        <v>4.38</v>
      </c>
      <c r="H46" s="25">
        <f>E46*F46</f>
        <v>1.752</v>
      </c>
      <c r="I46" s="95"/>
      <c r="J46" s="5"/>
    </row>
    <row r="47" spans="1:10" ht="16.5" thickBot="1">
      <c r="A47" s="90"/>
      <c r="B47" s="72"/>
      <c r="C47" s="28"/>
      <c r="D47" s="28"/>
      <c r="E47" s="8"/>
      <c r="F47" s="73"/>
      <c r="G47" s="252">
        <f>SUM(G42:G44)</f>
        <v>0.94845</v>
      </c>
      <c r="H47" s="67">
        <f>SUM(H45:H46)</f>
        <v>4.508</v>
      </c>
      <c r="I47" s="88"/>
      <c r="J47" s="11"/>
    </row>
    <row r="48" spans="1:10" ht="16.5" thickTop="1">
      <c r="A48" s="168">
        <v>14.6</v>
      </c>
      <c r="B48" s="113"/>
      <c r="C48" s="69"/>
      <c r="D48" s="69"/>
      <c r="E48" s="70"/>
      <c r="F48" s="139"/>
      <c r="G48" s="115"/>
      <c r="H48" s="115"/>
      <c r="I48" s="89"/>
      <c r="J48" s="71"/>
    </row>
    <row r="49" spans="1:10" s="1" customFormat="1" ht="15.75">
      <c r="A49" s="173" t="s">
        <v>1005</v>
      </c>
      <c r="B49" s="24"/>
      <c r="C49" s="24"/>
      <c r="D49" s="24"/>
      <c r="E49" s="3"/>
      <c r="F49" s="14"/>
      <c r="G49" s="85"/>
      <c r="H49" s="85"/>
      <c r="I49" s="95"/>
      <c r="J49" s="5"/>
    </row>
    <row r="50" spans="1:10" s="1" customFormat="1" ht="15.75">
      <c r="A50" s="173" t="s">
        <v>1006</v>
      </c>
      <c r="B50" s="24"/>
      <c r="C50" s="24" t="s">
        <v>287</v>
      </c>
      <c r="D50" s="24" t="s">
        <v>355</v>
      </c>
      <c r="E50" s="3">
        <v>4</v>
      </c>
      <c r="F50" s="14">
        <f>IF(D50="ag-01",0.12,IF(D50="ag-02",0.09,IF(D50="ar-03",12.03,IF(D50="ai-14",100,IF(D50="op-02",4.31,IF(D50="op-01",6.89,IF(D50="ai-03",3.5)))))))</f>
        <v>0.12</v>
      </c>
      <c r="G50" s="25">
        <f>E50*F50</f>
        <v>0.48</v>
      </c>
      <c r="I50" s="95">
        <f>SUM(G50:H55)</f>
        <v>10.100999999999999</v>
      </c>
      <c r="J50" s="5"/>
    </row>
    <row r="51" spans="1:10" s="1" customFormat="1" ht="15.75">
      <c r="A51" s="174" t="s">
        <v>843</v>
      </c>
      <c r="B51" s="24"/>
      <c r="C51" s="24" t="s">
        <v>287</v>
      </c>
      <c r="D51" s="24" t="s">
        <v>844</v>
      </c>
      <c r="E51" s="3">
        <v>3.6</v>
      </c>
      <c r="F51" s="14">
        <f>IF(D51="ag-01",0.12,IF(D51="ag-04",0.13,IF(D51="ar-03",12.03,IF(D51="ai-14",100,IF(D51="op-02",4.31,IF(D51="op-01",6.89,IF(D51="ai-03",3.5)))))))</f>
        <v>0.13</v>
      </c>
      <c r="G51" s="25">
        <f>E51*F51</f>
        <v>0.468</v>
      </c>
      <c r="I51" s="95"/>
      <c r="J51" s="5"/>
    </row>
    <row r="52" spans="1:10" s="1" customFormat="1" ht="15.75">
      <c r="A52" s="174" t="s">
        <v>978</v>
      </c>
      <c r="B52" s="24"/>
      <c r="C52" s="24" t="s">
        <v>357</v>
      </c>
      <c r="D52" s="24" t="s">
        <v>1007</v>
      </c>
      <c r="E52" s="3">
        <v>0.02</v>
      </c>
      <c r="F52" s="14">
        <f>IF(D52="ag-01",0.12,IF(D52="ag-04",0.13,IF(D52="ar-03",12.03,IF(D52="ai-14",100,IF(D52="op-02",4.31,IF(D52="op-01",6.89,IF(D52="ai-03",3.5)))))))</f>
        <v>100</v>
      </c>
      <c r="G52" s="25">
        <f>E52*F52</f>
        <v>2</v>
      </c>
      <c r="I52" s="95"/>
      <c r="J52" s="5"/>
    </row>
    <row r="53" spans="1:10" s="1" customFormat="1" ht="15.75">
      <c r="A53" s="174" t="s">
        <v>1008</v>
      </c>
      <c r="B53" s="24"/>
      <c r="C53" s="24" t="s">
        <v>317</v>
      </c>
      <c r="D53" s="24" t="s">
        <v>981</v>
      </c>
      <c r="E53" s="3">
        <v>0.04</v>
      </c>
      <c r="F53" s="14">
        <f>IF(D53="ag-01",0.12,IF(D53="ag-04",0.13,IF(D53="ar-03",12.03,IF(D53="ai-14",100,IF(D53="op-02",4.31,IF(D53="op-01",6.89,IF(D53="ai-03",3.5)))))))</f>
        <v>3.5</v>
      </c>
      <c r="G53" s="25">
        <f>E53*F53</f>
        <v>0.14</v>
      </c>
      <c r="I53" s="95"/>
      <c r="J53" s="5"/>
    </row>
    <row r="54" spans="1:10" s="1" customFormat="1" ht="15.75">
      <c r="A54" s="174" t="s">
        <v>289</v>
      </c>
      <c r="B54" s="24"/>
      <c r="C54" s="24" t="s">
        <v>228</v>
      </c>
      <c r="D54" s="24" t="s">
        <v>290</v>
      </c>
      <c r="E54" s="3">
        <v>0.7</v>
      </c>
      <c r="F54" s="14">
        <f>+C215</f>
        <v>6.89</v>
      </c>
      <c r="H54" s="25">
        <f>E54*F54</f>
        <v>4.8229999999999995</v>
      </c>
      <c r="I54" s="95"/>
      <c r="J54" s="5"/>
    </row>
    <row r="55" spans="1:10" s="1" customFormat="1" ht="15.75">
      <c r="A55" s="174" t="s">
        <v>227</v>
      </c>
      <c r="B55" s="24"/>
      <c r="C55" s="24" t="s">
        <v>228</v>
      </c>
      <c r="D55" s="24" t="s">
        <v>229</v>
      </c>
      <c r="E55" s="3">
        <v>0.5</v>
      </c>
      <c r="F55" s="14">
        <f>+C216</f>
        <v>4.38</v>
      </c>
      <c r="H55" s="25">
        <f>E55*F55</f>
        <v>2.19</v>
      </c>
      <c r="I55" s="95"/>
      <c r="J55" s="5"/>
    </row>
    <row r="56" spans="1:10" ht="16.5" thickBot="1">
      <c r="A56" s="90"/>
      <c r="B56" s="72"/>
      <c r="C56" s="28"/>
      <c r="D56" s="28"/>
      <c r="E56" s="8"/>
      <c r="F56" s="73"/>
      <c r="G56" s="252">
        <f>SUM(G50:G53)</f>
        <v>3.088</v>
      </c>
      <c r="H56" s="252">
        <f>SUM(H54:H55)</f>
        <v>7.013</v>
      </c>
      <c r="I56" s="88"/>
      <c r="J56" s="11"/>
    </row>
    <row r="57" spans="1:10" ht="16.5" thickTop="1">
      <c r="A57" s="168">
        <v>14.7</v>
      </c>
      <c r="B57" s="113"/>
      <c r="C57" s="69"/>
      <c r="D57" s="69"/>
      <c r="E57" s="70"/>
      <c r="F57" s="139"/>
      <c r="G57" s="115"/>
      <c r="H57" s="115"/>
      <c r="I57" s="89"/>
      <c r="J57" s="71"/>
    </row>
    <row r="58" spans="1:10" s="1" customFormat="1" ht="15.75">
      <c r="A58" s="173" t="s">
        <v>1009</v>
      </c>
      <c r="B58" s="24"/>
      <c r="C58" s="24"/>
      <c r="D58" s="24"/>
      <c r="E58" s="3"/>
      <c r="F58" s="14"/>
      <c r="G58" s="85"/>
      <c r="H58" s="85"/>
      <c r="I58" s="95"/>
      <c r="J58" s="5"/>
    </row>
    <row r="59" spans="1:10" s="1" customFormat="1" ht="15.75">
      <c r="A59" s="173" t="s">
        <v>1010</v>
      </c>
      <c r="B59" s="24"/>
      <c r="C59" s="24"/>
      <c r="D59" s="24"/>
      <c r="E59" s="3"/>
      <c r="F59" s="14"/>
      <c r="G59" s="85"/>
      <c r="H59" s="85"/>
      <c r="I59" s="95"/>
      <c r="J59" s="5"/>
    </row>
    <row r="60" spans="1:10" s="1" customFormat="1" ht="15.75">
      <c r="A60" s="173" t="s">
        <v>1011</v>
      </c>
      <c r="B60" s="24"/>
      <c r="C60" s="24"/>
      <c r="D60" s="24"/>
      <c r="E60" s="3"/>
      <c r="F60" s="14"/>
      <c r="G60" s="85"/>
      <c r="H60" s="85"/>
      <c r="I60" s="95"/>
      <c r="J60" s="5"/>
    </row>
    <row r="61" spans="1:10" s="1" customFormat="1" ht="15.75">
      <c r="A61" s="172" t="s">
        <v>1012</v>
      </c>
      <c r="B61" s="24" t="s">
        <v>387</v>
      </c>
      <c r="C61" s="24" t="s">
        <v>287</v>
      </c>
      <c r="D61" s="24" t="s">
        <v>355</v>
      </c>
      <c r="E61" s="3">
        <v>5.1</v>
      </c>
      <c r="F61" s="14">
        <f aca="true" t="shared" si="0" ref="F61:F74">IF(D61="ag-01",0.12,IF(D61="ag-02",0.09,IF(D61="ar-03",12.03,IF(D61="ai-04",44,IF(D61="op-02",4.31,IF(D61="op-01",6.89,IF(D61="ai-05",0.6)))))))</f>
        <v>0.12</v>
      </c>
      <c r="G61" s="25">
        <f>E61*F61</f>
        <v>0.612</v>
      </c>
      <c r="I61" s="95">
        <f>SUM(G68,H68)</f>
        <v>8.91945</v>
      </c>
      <c r="J61" s="5"/>
    </row>
    <row r="62" spans="1:10" s="1" customFormat="1" ht="15.75">
      <c r="A62" s="174" t="s">
        <v>557</v>
      </c>
      <c r="B62" s="24"/>
      <c r="C62" s="24" t="s">
        <v>287</v>
      </c>
      <c r="D62" s="24" t="s">
        <v>377</v>
      </c>
      <c r="E62" s="3">
        <v>3.67</v>
      </c>
      <c r="F62" s="14">
        <f t="shared" si="0"/>
        <v>0.09</v>
      </c>
      <c r="G62" s="25">
        <f>E62*F62</f>
        <v>0.3303</v>
      </c>
      <c r="I62" s="95"/>
      <c r="J62" s="5"/>
    </row>
    <row r="63" spans="1:10" s="1" customFormat="1" ht="15.75">
      <c r="A63" s="174" t="s">
        <v>983</v>
      </c>
      <c r="B63" s="24"/>
      <c r="C63" s="24" t="s">
        <v>357</v>
      </c>
      <c r="D63" s="24" t="s">
        <v>984</v>
      </c>
      <c r="E63" s="3">
        <v>0.02</v>
      </c>
      <c r="F63" s="14">
        <f t="shared" si="0"/>
        <v>44</v>
      </c>
      <c r="G63" s="25">
        <f>E63*F63</f>
        <v>0.88</v>
      </c>
      <c r="I63" s="95"/>
      <c r="J63" s="5"/>
    </row>
    <row r="64" spans="1:10" s="1" customFormat="1" ht="15.75">
      <c r="A64" s="174" t="s">
        <v>985</v>
      </c>
      <c r="B64" s="24"/>
      <c r="C64" s="24" t="s">
        <v>317</v>
      </c>
      <c r="D64" s="24" t="s">
        <v>986</v>
      </c>
      <c r="E64" s="3">
        <v>0.04</v>
      </c>
      <c r="F64" s="14">
        <f t="shared" si="0"/>
        <v>0.6</v>
      </c>
      <c r="G64" s="25">
        <f>E64*F64</f>
        <v>0.024</v>
      </c>
      <c r="I64" s="95"/>
      <c r="J64" s="5"/>
    </row>
    <row r="65" spans="1:10" s="1" customFormat="1" ht="15.75">
      <c r="A65" s="174" t="s">
        <v>559</v>
      </c>
      <c r="B65" s="24"/>
      <c r="C65" s="24" t="s">
        <v>357</v>
      </c>
      <c r="D65" s="24" t="s">
        <v>560</v>
      </c>
      <c r="E65" s="3">
        <v>0.005</v>
      </c>
      <c r="F65" s="14">
        <f t="shared" si="0"/>
        <v>12.03</v>
      </c>
      <c r="G65" s="25">
        <f>E65*F65</f>
        <v>0.060149999999999995</v>
      </c>
      <c r="I65" s="95"/>
      <c r="J65" s="5"/>
    </row>
    <row r="66" spans="1:10" s="1" customFormat="1" ht="15.75">
      <c r="A66" s="174" t="s">
        <v>289</v>
      </c>
      <c r="B66" s="24"/>
      <c r="C66" s="24" t="s">
        <v>228</v>
      </c>
      <c r="D66" s="24" t="s">
        <v>290</v>
      </c>
      <c r="E66" s="3">
        <v>0.7</v>
      </c>
      <c r="F66" s="14">
        <f>+C215</f>
        <v>6.89</v>
      </c>
      <c r="H66" s="25">
        <f>E66*F66</f>
        <v>4.8229999999999995</v>
      </c>
      <c r="I66" s="95"/>
      <c r="J66" s="5"/>
    </row>
    <row r="67" spans="1:10" s="1" customFormat="1" ht="15.75">
      <c r="A67" s="174" t="s">
        <v>227</v>
      </c>
      <c r="B67" s="24"/>
      <c r="C67" s="24" t="s">
        <v>228</v>
      </c>
      <c r="D67" s="24" t="s">
        <v>229</v>
      </c>
      <c r="E67" s="3">
        <v>0.5</v>
      </c>
      <c r="F67" s="14">
        <f>+C216</f>
        <v>4.38</v>
      </c>
      <c r="H67" s="25">
        <f>E67*F67</f>
        <v>2.19</v>
      </c>
      <c r="I67" s="95"/>
      <c r="J67" s="5"/>
    </row>
    <row r="68" spans="1:10" s="1" customFormat="1" ht="15.75">
      <c r="A68" s="174"/>
      <c r="B68" s="24"/>
      <c r="C68" s="24"/>
      <c r="D68" s="24"/>
      <c r="E68" s="3"/>
      <c r="F68" s="14"/>
      <c r="G68" s="258">
        <f>SUM(G61:G65)</f>
        <v>1.9064499999999998</v>
      </c>
      <c r="H68" s="258">
        <f>SUM(H66:H67)</f>
        <v>7.013</v>
      </c>
      <c r="I68" s="95"/>
      <c r="J68" s="5"/>
    </row>
    <row r="69" spans="1:10" s="1" customFormat="1" ht="15.75">
      <c r="A69" s="173" t="s">
        <v>1013</v>
      </c>
      <c r="B69" s="24"/>
      <c r="C69" s="24"/>
      <c r="D69" s="24"/>
      <c r="E69" s="3"/>
      <c r="F69" s="14"/>
      <c r="G69" s="76"/>
      <c r="H69" s="76"/>
      <c r="I69" s="95"/>
      <c r="J69" s="5"/>
    </row>
    <row r="70" spans="1:10" s="1" customFormat="1" ht="15.75">
      <c r="A70" s="173" t="s">
        <v>1012</v>
      </c>
      <c r="B70" s="24" t="s">
        <v>389</v>
      </c>
      <c r="C70" s="24" t="s">
        <v>287</v>
      </c>
      <c r="D70" s="24" t="s">
        <v>355</v>
      </c>
      <c r="E70" s="3">
        <v>5.92</v>
      </c>
      <c r="F70" s="14">
        <f t="shared" si="0"/>
        <v>0.12</v>
      </c>
      <c r="G70" s="25">
        <f>E70*F70</f>
        <v>0.7103999999999999</v>
      </c>
      <c r="I70" s="95">
        <f>SUM(G77,H77)</f>
        <v>9.1518</v>
      </c>
      <c r="J70" s="5"/>
    </row>
    <row r="71" spans="1:10" s="1" customFormat="1" ht="15.75">
      <c r="A71" s="174" t="s">
        <v>557</v>
      </c>
      <c r="B71" s="24"/>
      <c r="C71" s="24" t="s">
        <v>287</v>
      </c>
      <c r="D71" s="24" t="s">
        <v>377</v>
      </c>
      <c r="E71" s="3">
        <v>4.49</v>
      </c>
      <c r="F71" s="14">
        <f t="shared" si="0"/>
        <v>0.09</v>
      </c>
      <c r="G71" s="25">
        <f>E71*F71</f>
        <v>0.4041</v>
      </c>
      <c r="I71" s="95"/>
      <c r="J71" s="5"/>
    </row>
    <row r="72" spans="1:10" s="1" customFormat="1" ht="15.75">
      <c r="A72" s="174" t="s">
        <v>983</v>
      </c>
      <c r="B72" s="24"/>
      <c r="C72" s="24" t="s">
        <v>357</v>
      </c>
      <c r="D72" s="24" t="s">
        <v>984</v>
      </c>
      <c r="E72" s="3">
        <v>0.02</v>
      </c>
      <c r="F72" s="14">
        <f t="shared" si="0"/>
        <v>44</v>
      </c>
      <c r="G72" s="25">
        <f>E72*F72</f>
        <v>0.88</v>
      </c>
      <c r="I72" s="95"/>
      <c r="J72" s="5"/>
    </row>
    <row r="73" spans="1:10" s="1" customFormat="1" ht="15.75">
      <c r="A73" s="174" t="s">
        <v>985</v>
      </c>
      <c r="B73" s="24"/>
      <c r="C73" s="24" t="s">
        <v>317</v>
      </c>
      <c r="D73" s="24" t="s">
        <v>986</v>
      </c>
      <c r="E73" s="3">
        <v>0.04</v>
      </c>
      <c r="F73" s="14">
        <f t="shared" si="0"/>
        <v>0.6</v>
      </c>
      <c r="G73" s="25">
        <f>E73*F73</f>
        <v>0.024</v>
      </c>
      <c r="I73" s="95"/>
      <c r="J73" s="5"/>
    </row>
    <row r="74" spans="1:10" s="1" customFormat="1" ht="15.75">
      <c r="A74" s="174" t="s">
        <v>559</v>
      </c>
      <c r="B74" s="24"/>
      <c r="C74" s="24" t="s">
        <v>357</v>
      </c>
      <c r="D74" s="24" t="s">
        <v>560</v>
      </c>
      <c r="E74" s="3">
        <v>0.01</v>
      </c>
      <c r="F74" s="14">
        <f t="shared" si="0"/>
        <v>12.03</v>
      </c>
      <c r="G74" s="25">
        <f>E74*F74</f>
        <v>0.12029999999999999</v>
      </c>
      <c r="I74" s="95"/>
      <c r="J74" s="5"/>
    </row>
    <row r="75" spans="1:10" s="1" customFormat="1" ht="15.75">
      <c r="A75" s="174" t="s">
        <v>289</v>
      </c>
      <c r="B75" s="24"/>
      <c r="C75" s="24" t="s">
        <v>228</v>
      </c>
      <c r="D75" s="24" t="s">
        <v>290</v>
      </c>
      <c r="E75" s="3">
        <v>0.7</v>
      </c>
      <c r="F75" s="14">
        <f>+C215</f>
        <v>6.89</v>
      </c>
      <c r="H75" s="25">
        <f>E75*F75</f>
        <v>4.8229999999999995</v>
      </c>
      <c r="I75" s="95"/>
      <c r="J75" s="5"/>
    </row>
    <row r="76" spans="1:10" s="1" customFormat="1" ht="15.75">
      <c r="A76" s="174" t="s">
        <v>227</v>
      </c>
      <c r="B76" s="24"/>
      <c r="C76" s="24" t="s">
        <v>228</v>
      </c>
      <c r="D76" s="24" t="s">
        <v>229</v>
      </c>
      <c r="E76" s="3">
        <v>0.5</v>
      </c>
      <c r="F76" s="14">
        <f>+C216</f>
        <v>4.38</v>
      </c>
      <c r="H76" s="25">
        <f>E76*F76</f>
        <v>2.19</v>
      </c>
      <c r="I76" s="95"/>
      <c r="J76" s="5"/>
    </row>
    <row r="77" spans="1:10" ht="16.5" thickBot="1">
      <c r="A77" s="204"/>
      <c r="B77" s="28"/>
      <c r="C77" s="28"/>
      <c r="D77" s="28"/>
      <c r="E77" s="8"/>
      <c r="F77" s="10"/>
      <c r="G77" s="259">
        <f>SUM(G70:G74)</f>
        <v>2.1388</v>
      </c>
      <c r="H77" s="259">
        <f>SUM(H75:H76)</f>
        <v>7.013</v>
      </c>
      <c r="I77" s="88"/>
      <c r="J77" s="11"/>
    </row>
    <row r="78" spans="1:10" s="1" customFormat="1" ht="16.5" thickTop="1">
      <c r="A78" s="177">
        <v>14.8</v>
      </c>
      <c r="B78" s="24"/>
      <c r="C78" s="24"/>
      <c r="D78" s="24"/>
      <c r="E78" s="3"/>
      <c r="F78" s="14"/>
      <c r="G78" s="76"/>
      <c r="H78" s="76"/>
      <c r="I78" s="95"/>
      <c r="J78" s="5"/>
    </row>
    <row r="79" spans="1:10" s="1" customFormat="1" ht="15.75">
      <c r="A79" s="173" t="s">
        <v>1014</v>
      </c>
      <c r="B79" s="24"/>
      <c r="C79" s="24"/>
      <c r="D79" s="24"/>
      <c r="E79" s="3"/>
      <c r="F79" s="14"/>
      <c r="G79" s="76"/>
      <c r="H79" s="76"/>
      <c r="I79" s="95"/>
      <c r="J79" s="5"/>
    </row>
    <row r="80" spans="1:10" s="1" customFormat="1" ht="15.75">
      <c r="A80" s="173" t="s">
        <v>1015</v>
      </c>
      <c r="B80" s="24"/>
      <c r="C80" s="24"/>
      <c r="D80" s="24"/>
      <c r="E80" s="3"/>
      <c r="F80" s="14"/>
      <c r="G80" s="76"/>
      <c r="H80" s="76"/>
      <c r="I80" s="95"/>
      <c r="J80" s="5"/>
    </row>
    <row r="81" spans="1:10" s="1" customFormat="1" ht="15.75">
      <c r="A81" s="174" t="s">
        <v>1016</v>
      </c>
      <c r="B81" s="24"/>
      <c r="C81" s="24" t="s">
        <v>287</v>
      </c>
      <c r="D81" s="24" t="s">
        <v>1017</v>
      </c>
      <c r="E81" s="3">
        <v>3</v>
      </c>
      <c r="F81" s="14">
        <f>IF(D81="pd-01",0.23,IF(D81="op-02",4.31,IF(D81="op-01",6.89)))</f>
        <v>0.23</v>
      </c>
      <c r="G81" s="25">
        <f>E81*F81</f>
        <v>0.6900000000000001</v>
      </c>
      <c r="I81" s="95">
        <f>SUM(G81:H83)</f>
        <v>3.6708999999999996</v>
      </c>
      <c r="J81" s="5"/>
    </row>
    <row r="82" spans="1:10" s="1" customFormat="1" ht="15.75">
      <c r="A82" s="174" t="s">
        <v>289</v>
      </c>
      <c r="B82" s="24"/>
      <c r="C82" s="24" t="s">
        <v>228</v>
      </c>
      <c r="D82" s="24" t="s">
        <v>290</v>
      </c>
      <c r="E82" s="3">
        <v>0.35</v>
      </c>
      <c r="F82" s="14">
        <f>+C215</f>
        <v>6.89</v>
      </c>
      <c r="H82" s="25">
        <f>E82*F82</f>
        <v>2.4114999999999998</v>
      </c>
      <c r="I82" s="95"/>
      <c r="J82" s="5"/>
    </row>
    <row r="83" spans="1:10" s="1" customFormat="1" ht="15.75">
      <c r="A83" s="174" t="s">
        <v>227</v>
      </c>
      <c r="B83" s="24"/>
      <c r="C83" s="24" t="s">
        <v>228</v>
      </c>
      <c r="D83" s="24" t="s">
        <v>229</v>
      </c>
      <c r="E83" s="3">
        <v>0.13</v>
      </c>
      <c r="F83" s="14">
        <f>+C216</f>
        <v>4.38</v>
      </c>
      <c r="H83" s="25">
        <f>E83*F83</f>
        <v>0.5694</v>
      </c>
      <c r="I83" s="95"/>
      <c r="J83" s="5"/>
    </row>
    <row r="84" spans="1:10" ht="16.5" thickBot="1">
      <c r="A84" s="90"/>
      <c r="B84" s="72"/>
      <c r="C84" s="28"/>
      <c r="D84" s="28"/>
      <c r="E84" s="8"/>
      <c r="F84" s="73"/>
      <c r="G84" s="67">
        <f>E81*F81</f>
        <v>0.6900000000000001</v>
      </c>
      <c r="H84" s="252">
        <f>SUM(H82:H83)</f>
        <v>2.9808999999999997</v>
      </c>
      <c r="I84" s="88"/>
      <c r="J84" s="11"/>
    </row>
    <row r="85" spans="1:10" ht="16.5" thickTop="1">
      <c r="A85" s="177" t="s">
        <v>1018</v>
      </c>
      <c r="B85" s="113"/>
      <c r="C85" s="69"/>
      <c r="D85" s="69"/>
      <c r="E85" s="70"/>
      <c r="F85" s="139"/>
      <c r="G85" s="115"/>
      <c r="H85" s="115"/>
      <c r="I85" s="89"/>
      <c r="J85" s="71"/>
    </row>
    <row r="86" spans="1:10" s="1" customFormat="1" ht="15.75">
      <c r="A86" s="173" t="s">
        <v>1019</v>
      </c>
      <c r="B86" s="24"/>
      <c r="C86" s="24"/>
      <c r="D86" s="24"/>
      <c r="E86" s="3"/>
      <c r="F86" s="14"/>
      <c r="G86" s="85"/>
      <c r="H86" s="85"/>
      <c r="I86" s="95"/>
      <c r="J86" s="5"/>
    </row>
    <row r="87" spans="1:10" s="1" customFormat="1" ht="15.75">
      <c r="A87" s="173" t="s">
        <v>1020</v>
      </c>
      <c r="B87" s="24"/>
      <c r="C87" s="24"/>
      <c r="D87" s="24"/>
      <c r="E87" s="3"/>
      <c r="F87" s="14"/>
      <c r="G87" s="85"/>
      <c r="H87" s="85"/>
      <c r="I87" s="95"/>
      <c r="J87" s="5"/>
    </row>
    <row r="88" spans="1:10" s="1" customFormat="1" ht="15.75">
      <c r="A88" s="207" t="s">
        <v>1021</v>
      </c>
      <c r="B88" s="24"/>
      <c r="C88" s="24" t="s">
        <v>287</v>
      </c>
      <c r="D88" s="24" t="s">
        <v>1022</v>
      </c>
      <c r="E88" s="3">
        <v>12</v>
      </c>
      <c r="F88" s="14">
        <f>IF(D88="pd-02",0.5,IF(D88="op-02",4.31,IF(D88="op-01",6.89)))</f>
        <v>0.5</v>
      </c>
      <c r="G88" s="25">
        <f>E88*F88</f>
        <v>6</v>
      </c>
      <c r="I88" s="95">
        <f>SUM(G88:H90)</f>
        <v>18.2799</v>
      </c>
      <c r="J88" s="5"/>
    </row>
    <row r="89" spans="1:10" s="1" customFormat="1" ht="15.75">
      <c r="A89" s="174" t="s">
        <v>289</v>
      </c>
      <c r="B89" s="24"/>
      <c r="C89" s="24" t="s">
        <v>228</v>
      </c>
      <c r="D89" s="24" t="s">
        <v>290</v>
      </c>
      <c r="E89" s="3">
        <v>1.35</v>
      </c>
      <c r="F89" s="14">
        <f>+C215</f>
        <v>6.89</v>
      </c>
      <c r="H89" s="25">
        <f>E89*F89</f>
        <v>9.3015</v>
      </c>
      <c r="I89" s="95"/>
      <c r="J89" s="5"/>
    </row>
    <row r="90" spans="1:10" s="1" customFormat="1" ht="15.75">
      <c r="A90" s="174" t="s">
        <v>227</v>
      </c>
      <c r="B90" s="24"/>
      <c r="C90" s="24" t="s">
        <v>228</v>
      </c>
      <c r="D90" s="24" t="s">
        <v>229</v>
      </c>
      <c r="E90" s="3">
        <v>0.68</v>
      </c>
      <c r="F90" s="14">
        <f>+C216</f>
        <v>4.38</v>
      </c>
      <c r="H90" s="25">
        <f>E90*F90</f>
        <v>2.9784</v>
      </c>
      <c r="I90" s="95"/>
      <c r="J90" s="5"/>
    </row>
    <row r="91" spans="1:10" ht="16.5" thickBot="1">
      <c r="A91" s="90"/>
      <c r="B91" s="72"/>
      <c r="C91" s="28"/>
      <c r="D91" s="28"/>
      <c r="E91" s="8"/>
      <c r="F91" s="73"/>
      <c r="G91" s="67">
        <f>E88*F88</f>
        <v>6</v>
      </c>
      <c r="H91" s="67">
        <f>SUM(H89:H90)</f>
        <v>12.279900000000001</v>
      </c>
      <c r="I91" s="88"/>
      <c r="J91" s="11"/>
    </row>
    <row r="92" spans="1:10" ht="16.5" thickTop="1">
      <c r="A92" s="176">
        <v>14.1</v>
      </c>
      <c r="B92" s="113"/>
      <c r="C92" s="69"/>
      <c r="D92" s="69"/>
      <c r="E92" s="70"/>
      <c r="F92" s="139"/>
      <c r="G92" s="115"/>
      <c r="H92" s="115"/>
      <c r="I92" s="89"/>
      <c r="J92" s="71"/>
    </row>
    <row r="93" spans="1:10" s="1" customFormat="1" ht="15.75">
      <c r="A93" s="173" t="s">
        <v>1019</v>
      </c>
      <c r="B93" s="24"/>
      <c r="C93" s="24"/>
      <c r="D93" s="24"/>
      <c r="E93" s="3"/>
      <c r="F93" s="14"/>
      <c r="G93" s="85"/>
      <c r="H93" s="85"/>
      <c r="I93" s="95"/>
      <c r="J93" s="5"/>
    </row>
    <row r="94" spans="1:10" s="1" customFormat="1" ht="15.75">
      <c r="A94" s="173" t="s">
        <v>1023</v>
      </c>
      <c r="B94" s="24"/>
      <c r="C94" s="24"/>
      <c r="D94" s="24"/>
      <c r="E94" s="3"/>
      <c r="F94" s="14"/>
      <c r="G94" s="85"/>
      <c r="H94" s="85"/>
      <c r="I94" s="95"/>
      <c r="J94" s="5"/>
    </row>
    <row r="95" spans="1:10" s="1" customFormat="1" ht="15.75">
      <c r="A95" s="174" t="s">
        <v>1016</v>
      </c>
      <c r="B95" s="24"/>
      <c r="C95" s="24" t="s">
        <v>287</v>
      </c>
      <c r="D95" s="24" t="s">
        <v>1024</v>
      </c>
      <c r="E95" s="3">
        <v>5</v>
      </c>
      <c r="F95" s="14">
        <f>IF(D95="pd-03",0.49,IF(D95="op-02",4.31,IF(D95="op-01",6.89,IF(D95="pd-04",2.73))))</f>
        <v>0.49</v>
      </c>
      <c r="G95" s="25">
        <f>E95*F95</f>
        <v>2.45</v>
      </c>
      <c r="I95" s="95">
        <f>SUM(G95:H98)</f>
        <v>6.6105</v>
      </c>
      <c r="J95" s="5"/>
    </row>
    <row r="96" spans="1:10" s="1" customFormat="1" ht="15.75">
      <c r="A96" s="174" t="s">
        <v>1025</v>
      </c>
      <c r="B96" s="24"/>
      <c r="C96" s="24" t="s">
        <v>317</v>
      </c>
      <c r="D96" s="24" t="s">
        <v>1026</v>
      </c>
      <c r="E96" s="3">
        <v>0.4</v>
      </c>
      <c r="F96" s="14">
        <f>IF(D96="pd-03",0.49,IF(D96="op-02",4.31,IF(D96="op-01",6.89,IF(D96="pd-04",2.73))))</f>
        <v>2.73</v>
      </c>
      <c r="G96" s="25">
        <f>E96*F96</f>
        <v>1.092</v>
      </c>
      <c r="I96" s="95"/>
      <c r="J96" s="5"/>
    </row>
    <row r="97" spans="1:10" s="1" customFormat="1" ht="15.75">
      <c r="A97" s="174" t="s">
        <v>289</v>
      </c>
      <c r="B97" s="24"/>
      <c r="C97" s="24" t="s">
        <v>228</v>
      </c>
      <c r="D97" s="24" t="s">
        <v>290</v>
      </c>
      <c r="E97" s="3">
        <v>0.35</v>
      </c>
      <c r="F97" s="14">
        <f>+C215</f>
        <v>6.89</v>
      </c>
      <c r="H97" s="25">
        <f>E97*F97</f>
        <v>2.4114999999999998</v>
      </c>
      <c r="I97" s="95"/>
      <c r="J97" s="5"/>
    </row>
    <row r="98" spans="1:10" s="1" customFormat="1" ht="15.75">
      <c r="A98" s="174" t="s">
        <v>227</v>
      </c>
      <c r="B98" s="24"/>
      <c r="C98" s="24" t="s">
        <v>228</v>
      </c>
      <c r="D98" s="24" t="s">
        <v>229</v>
      </c>
      <c r="E98" s="3">
        <v>0.15</v>
      </c>
      <c r="F98" s="14">
        <f>+C216</f>
        <v>4.38</v>
      </c>
      <c r="H98" s="25">
        <f>E98*F98</f>
        <v>0.6569999999999999</v>
      </c>
      <c r="I98" s="95"/>
      <c r="J98" s="5"/>
    </row>
    <row r="99" spans="1:10" ht="16.5" thickBot="1">
      <c r="A99" s="90"/>
      <c r="B99" s="72"/>
      <c r="C99" s="28"/>
      <c r="D99" s="28"/>
      <c r="E99" s="8"/>
      <c r="F99" s="73"/>
      <c r="G99" s="252">
        <f>SUM(G95:G96)</f>
        <v>3.5420000000000003</v>
      </c>
      <c r="H99" s="252">
        <f>SUM(H97:H98)</f>
        <v>3.0685</v>
      </c>
      <c r="I99" s="88"/>
      <c r="J99" s="11"/>
    </row>
    <row r="100" spans="1:10" ht="16.5" thickTop="1">
      <c r="A100" s="168">
        <v>14.11</v>
      </c>
      <c r="B100" s="113"/>
      <c r="C100" s="69"/>
      <c r="D100" s="69"/>
      <c r="E100" s="70"/>
      <c r="F100" s="139"/>
      <c r="G100" s="115"/>
      <c r="H100" s="115"/>
      <c r="I100" s="89"/>
      <c r="J100" s="71"/>
    </row>
    <row r="101" spans="1:10" s="1" customFormat="1" ht="15.75">
      <c r="A101" s="173" t="s">
        <v>1027</v>
      </c>
      <c r="B101" s="24"/>
      <c r="C101" s="24"/>
      <c r="D101" s="24"/>
      <c r="E101" s="3"/>
      <c r="F101" s="14"/>
      <c r="G101" s="85"/>
      <c r="H101" s="85"/>
      <c r="I101" s="95"/>
      <c r="J101" s="5"/>
    </row>
    <row r="102" spans="1:10" s="1" customFormat="1" ht="15.75">
      <c r="A102" s="173" t="s">
        <v>1029</v>
      </c>
      <c r="B102" s="24"/>
      <c r="C102" s="24"/>
      <c r="D102" s="24"/>
      <c r="E102" s="3"/>
      <c r="F102" s="14"/>
      <c r="G102" s="85"/>
      <c r="H102" s="85"/>
      <c r="I102" s="95"/>
      <c r="J102" s="5"/>
    </row>
    <row r="103" spans="1:10" s="1" customFormat="1" ht="15.75">
      <c r="A103" s="173" t="s">
        <v>1030</v>
      </c>
      <c r="B103" s="24"/>
      <c r="C103" s="24"/>
      <c r="D103" s="24"/>
      <c r="E103" s="3"/>
      <c r="F103" s="14"/>
      <c r="G103" s="85"/>
      <c r="H103" s="85"/>
      <c r="I103" s="95"/>
      <c r="J103" s="5"/>
    </row>
    <row r="104" spans="1:10" s="1" customFormat="1" ht="15.75">
      <c r="A104" s="172" t="s">
        <v>1031</v>
      </c>
      <c r="B104" s="24" t="s">
        <v>387</v>
      </c>
      <c r="C104" s="24" t="s">
        <v>287</v>
      </c>
      <c r="D104" s="24" t="s">
        <v>355</v>
      </c>
      <c r="E104" s="3">
        <v>13.76</v>
      </c>
      <c r="F104" s="14">
        <f>IF(D104="ag-01",0.12,IF(D104="ag-02",0.09,IF(D104="ar-03",12.03,IF(D104="ai-04",44,IF(D104="op-02",4.31,IF(D104="op-01",6.89,IF(D104="ai-05",0.6)))))))</f>
        <v>0.12</v>
      </c>
      <c r="G104" s="25">
        <f>E104*F104</f>
        <v>1.6512</v>
      </c>
      <c r="I104" s="95">
        <f>SUM(G108,H108)</f>
        <v>14.75637</v>
      </c>
      <c r="J104" s="5"/>
    </row>
    <row r="105" spans="1:10" s="1" customFormat="1" ht="15.75">
      <c r="A105" s="174" t="s">
        <v>559</v>
      </c>
      <c r="B105" s="24"/>
      <c r="C105" s="24" t="s">
        <v>357</v>
      </c>
      <c r="D105" s="24" t="s">
        <v>560</v>
      </c>
      <c r="E105" s="3">
        <v>0.029</v>
      </c>
      <c r="F105" s="14">
        <f>IF(D105="ag-01",0.12,IF(D105="ag-02",0.09,IF(D105="ar-03",12.03,IF(D105="ai-04",44,IF(D105="op-02",4.31,IF(D105="op-01",6.89,IF(D105="ai-05",0.6)))))))</f>
        <v>12.03</v>
      </c>
      <c r="G105" s="25">
        <f>E105*F105</f>
        <v>0.34887</v>
      </c>
      <c r="I105" s="95"/>
      <c r="J105" s="5"/>
    </row>
    <row r="106" spans="1:10" s="1" customFormat="1" ht="15.75">
      <c r="A106" s="174" t="s">
        <v>289</v>
      </c>
      <c r="B106" s="24"/>
      <c r="C106" s="24" t="s">
        <v>228</v>
      </c>
      <c r="D106" s="24" t="s">
        <v>290</v>
      </c>
      <c r="E106" s="3">
        <v>1.47</v>
      </c>
      <c r="F106" s="14">
        <f>+C215</f>
        <v>6.89</v>
      </c>
      <c r="H106" s="25">
        <f>E106*F106</f>
        <v>10.1283</v>
      </c>
      <c r="I106" s="95"/>
      <c r="J106" s="5"/>
    </row>
    <row r="107" spans="1:10" s="1" customFormat="1" ht="15.75">
      <c r="A107" s="174" t="s">
        <v>227</v>
      </c>
      <c r="B107" s="24"/>
      <c r="C107" s="24" t="s">
        <v>228</v>
      </c>
      <c r="D107" s="24" t="s">
        <v>229</v>
      </c>
      <c r="E107" s="3">
        <v>0.6</v>
      </c>
      <c r="F107" s="14">
        <f>+C216</f>
        <v>4.38</v>
      </c>
      <c r="H107" s="25">
        <f>E107*F107</f>
        <v>2.6279999999999997</v>
      </c>
      <c r="I107" s="95"/>
      <c r="J107" s="5"/>
    </row>
    <row r="108" spans="1:10" s="1" customFormat="1" ht="15.75">
      <c r="A108" s="174"/>
      <c r="B108" s="24"/>
      <c r="C108" s="24"/>
      <c r="D108" s="24"/>
      <c r="E108" s="3"/>
      <c r="F108" s="14"/>
      <c r="G108" s="260">
        <f>SUM(G104:G105)</f>
        <v>2.00007</v>
      </c>
      <c r="H108" s="211">
        <f>SUM(H106:H107)</f>
        <v>12.7563</v>
      </c>
      <c r="I108" s="95"/>
      <c r="J108" s="5"/>
    </row>
    <row r="109" spans="1:10" s="1" customFormat="1" ht="15.75">
      <c r="A109" s="173" t="s">
        <v>1032</v>
      </c>
      <c r="B109" s="24"/>
      <c r="C109" s="24"/>
      <c r="D109" s="24"/>
      <c r="E109" s="3"/>
      <c r="F109" s="14"/>
      <c r="G109" s="76"/>
      <c r="H109" s="76"/>
      <c r="I109" s="95"/>
      <c r="J109" s="5"/>
    </row>
    <row r="110" spans="1:10" s="1" customFormat="1" ht="15.75">
      <c r="A110" s="172" t="s">
        <v>1033</v>
      </c>
      <c r="B110" s="24" t="s">
        <v>389</v>
      </c>
      <c r="C110" s="24" t="s">
        <v>287</v>
      </c>
      <c r="D110" s="24" t="s">
        <v>355</v>
      </c>
      <c r="E110" s="3">
        <v>11.15</v>
      </c>
      <c r="F110" s="14">
        <f>IF(D110="ag-01",0.12,IF(D110="ag-02",0.09,IF(D110="ar-03",12.03,IF(D110="ai-04",44,IF(D110="op-02",4.31,IF(D110="op-01",6.89,IF(D110="ai-05",0.6)))))))</f>
        <v>0.12</v>
      </c>
      <c r="G110" s="25">
        <f>E110*F110</f>
        <v>1.338</v>
      </c>
      <c r="I110" s="95">
        <f>SUM(G114,H114)</f>
        <v>22.124689999999998</v>
      </c>
      <c r="J110" s="5"/>
    </row>
    <row r="111" spans="1:10" s="1" customFormat="1" ht="15.75">
      <c r="A111" s="174" t="s">
        <v>559</v>
      </c>
      <c r="B111" s="24"/>
      <c r="C111" s="24" t="s">
        <v>357</v>
      </c>
      <c r="D111" s="24" t="s">
        <v>560</v>
      </c>
      <c r="E111" s="3">
        <v>0.023</v>
      </c>
      <c r="F111" s="14">
        <f>IF(D111="ag-01",0.12,IF(D111="ag-02",0.09,IF(D111="ar-03",12.03,IF(D111="ai-04",44,IF(D111="op-02",4.31,IF(D111="op-01",6.89,IF(D111="ai-05",0.6)))))))</f>
        <v>12.03</v>
      </c>
      <c r="G111" s="25">
        <f>E111*F111</f>
        <v>0.27669</v>
      </c>
      <c r="I111" s="95"/>
      <c r="J111" s="53"/>
    </row>
    <row r="112" spans="1:10" s="1" customFormat="1" ht="15.75">
      <c r="A112" s="174" t="s">
        <v>289</v>
      </c>
      <c r="B112" s="24"/>
      <c r="C112" s="24" t="s">
        <v>228</v>
      </c>
      <c r="D112" s="24" t="s">
        <v>290</v>
      </c>
      <c r="E112" s="3">
        <v>2.5</v>
      </c>
      <c r="F112" s="14">
        <f>+C215</f>
        <v>6.89</v>
      </c>
      <c r="H112" s="25">
        <f>E112*F112</f>
        <v>17.224999999999998</v>
      </c>
      <c r="I112" s="95"/>
      <c r="J112" s="53"/>
    </row>
    <row r="113" spans="1:10" s="1" customFormat="1" ht="15.75">
      <c r="A113" s="174" t="s">
        <v>227</v>
      </c>
      <c r="B113" s="24"/>
      <c r="C113" s="24" t="s">
        <v>228</v>
      </c>
      <c r="D113" s="24" t="s">
        <v>229</v>
      </c>
      <c r="E113" s="3">
        <v>0.75</v>
      </c>
      <c r="F113" s="14">
        <f>+C216</f>
        <v>4.38</v>
      </c>
      <c r="H113" s="25">
        <f>E113*F113</f>
        <v>3.285</v>
      </c>
      <c r="I113" s="95"/>
      <c r="J113" s="53"/>
    </row>
    <row r="114" spans="1:10" s="108" customFormat="1" ht="16.5" thickBot="1">
      <c r="A114" s="90"/>
      <c r="B114" s="28"/>
      <c r="C114" s="28"/>
      <c r="D114" s="28"/>
      <c r="E114" s="8"/>
      <c r="F114" s="10"/>
      <c r="G114" s="259">
        <f>SUM(G110:G111)</f>
        <v>1.61469</v>
      </c>
      <c r="H114" s="212">
        <f>SUM(H112:H113)</f>
        <v>20.509999999999998</v>
      </c>
      <c r="I114" s="88"/>
      <c r="J114" s="54"/>
    </row>
    <row r="115" spans="1:10" ht="16.5" thickTop="1">
      <c r="A115" s="168">
        <v>14.12</v>
      </c>
      <c r="B115" s="69"/>
      <c r="C115" s="69"/>
      <c r="D115" s="69"/>
      <c r="E115" s="70"/>
      <c r="F115" s="84"/>
      <c r="G115" s="202"/>
      <c r="H115" s="202"/>
      <c r="I115" s="89"/>
      <c r="J115" s="203"/>
    </row>
    <row r="116" spans="1:10" s="1" customFormat="1" ht="15.75">
      <c r="A116" s="173" t="s">
        <v>1034</v>
      </c>
      <c r="B116" s="24"/>
      <c r="C116" s="24"/>
      <c r="D116" s="24"/>
      <c r="E116" s="3"/>
      <c r="F116" s="14"/>
      <c r="G116" s="76"/>
      <c r="H116" s="76"/>
      <c r="I116" s="95"/>
      <c r="J116" s="53"/>
    </row>
    <row r="117" spans="1:10" s="1" customFormat="1" ht="15.75">
      <c r="A117" s="173" t="s">
        <v>1035</v>
      </c>
      <c r="B117" s="24"/>
      <c r="C117" s="24"/>
      <c r="D117" s="24"/>
      <c r="E117" s="3"/>
      <c r="F117" s="14"/>
      <c r="G117" s="76"/>
      <c r="H117" s="76"/>
      <c r="I117" s="95"/>
      <c r="J117" s="53"/>
    </row>
    <row r="118" spans="1:10" s="1" customFormat="1" ht="15.75">
      <c r="A118" s="174" t="s">
        <v>624</v>
      </c>
      <c r="B118" s="24"/>
      <c r="C118" s="24" t="s">
        <v>287</v>
      </c>
      <c r="D118" s="24" t="s">
        <v>355</v>
      </c>
      <c r="E118" s="3">
        <v>5.5</v>
      </c>
      <c r="F118" s="14">
        <f>IF(D118="ag-01",0.12,IF(D118="ag-02",0.09,IF(D118="ar-03",12.03,IF(D118="ai-04",44,IF(D118="op-02",4.31,IF(D118="op-01",6.89,IF(D118="ai-05",0.6)))))))</f>
        <v>0.12</v>
      </c>
      <c r="G118" s="25">
        <f>E118*F118</f>
        <v>0.6599999999999999</v>
      </c>
      <c r="I118" s="95">
        <f>SUM(G118:H120)</f>
        <v>11.05515</v>
      </c>
      <c r="J118" s="53"/>
    </row>
    <row r="119" spans="1:10" s="1" customFormat="1" ht="15.75">
      <c r="A119" s="174" t="s">
        <v>559</v>
      </c>
      <c r="B119" s="24"/>
      <c r="C119" s="24" t="s">
        <v>357</v>
      </c>
      <c r="D119" s="24" t="s">
        <v>560</v>
      </c>
      <c r="E119" s="3">
        <v>0.005</v>
      </c>
      <c r="F119" s="14">
        <f>IF(D119="ag-01",0.12,IF(D119="ag-02",0.09,IF(D119="ar-03",12.03,IF(D119="ai-04",44,IF(D119="op-02",4.31,IF(D119="op-01",6.89,IF(D119="ai-05",0.6)))))))</f>
        <v>12.03</v>
      </c>
      <c r="G119" s="25">
        <f>E119*F119</f>
        <v>0.060149999999999995</v>
      </c>
      <c r="I119" s="95"/>
      <c r="J119" s="53"/>
    </row>
    <row r="120" spans="1:10" s="1" customFormat="1" ht="15.75">
      <c r="A120" s="174" t="s">
        <v>289</v>
      </c>
      <c r="B120" s="24"/>
      <c r="C120" s="24" t="s">
        <v>228</v>
      </c>
      <c r="D120" s="24" t="s">
        <v>290</v>
      </c>
      <c r="E120" s="3">
        <v>1.5</v>
      </c>
      <c r="F120" s="14">
        <f>+C215</f>
        <v>6.89</v>
      </c>
      <c r="H120" s="25">
        <f>E120*F120</f>
        <v>10.334999999999999</v>
      </c>
      <c r="I120" s="95"/>
      <c r="J120" s="5"/>
    </row>
    <row r="121" spans="1:10" ht="16.5" thickBot="1">
      <c r="A121" s="90"/>
      <c r="B121" s="72"/>
      <c r="C121" s="28"/>
      <c r="D121" s="28"/>
      <c r="E121" s="8"/>
      <c r="F121" s="73"/>
      <c r="G121" s="252">
        <f>SUM(G118:G119)</f>
        <v>0.72015</v>
      </c>
      <c r="H121" s="67">
        <f>E120*F120</f>
        <v>10.334999999999999</v>
      </c>
      <c r="I121" s="88"/>
      <c r="J121" s="11"/>
    </row>
    <row r="122" spans="1:10" ht="16.5" thickTop="1">
      <c r="A122" s="168">
        <v>14.13</v>
      </c>
      <c r="B122" s="113"/>
      <c r="C122" s="69"/>
      <c r="D122" s="69"/>
      <c r="E122" s="70"/>
      <c r="F122" s="139"/>
      <c r="G122" s="115"/>
      <c r="H122" s="115"/>
      <c r="I122" s="89"/>
      <c r="J122" s="71"/>
    </row>
    <row r="123" spans="1:10" s="1" customFormat="1" ht="15.75">
      <c r="A123" s="173" t="s">
        <v>1036</v>
      </c>
      <c r="B123" s="24"/>
      <c r="C123" s="24"/>
      <c r="D123" s="24"/>
      <c r="E123" s="3"/>
      <c r="F123" s="14"/>
      <c r="G123" s="85"/>
      <c r="H123" s="85"/>
      <c r="I123" s="95"/>
      <c r="J123" s="5"/>
    </row>
    <row r="124" spans="1:10" s="1" customFormat="1" ht="15.75">
      <c r="A124" s="173" t="s">
        <v>1037</v>
      </c>
      <c r="B124" s="24"/>
      <c r="C124" s="24"/>
      <c r="D124" s="24"/>
      <c r="E124" s="3"/>
      <c r="F124" s="14"/>
      <c r="G124" s="85"/>
      <c r="H124" s="85"/>
      <c r="I124" s="95"/>
      <c r="J124" s="5"/>
    </row>
    <row r="125" spans="1:10" s="1" customFormat="1" ht="15.75">
      <c r="A125" s="174" t="s">
        <v>289</v>
      </c>
      <c r="B125" s="24"/>
      <c r="C125" s="24" t="s">
        <v>228</v>
      </c>
      <c r="D125" s="24" t="s">
        <v>290</v>
      </c>
      <c r="E125" s="3">
        <v>0.4</v>
      </c>
      <c r="F125" s="14">
        <f>+C215</f>
        <v>6.89</v>
      </c>
      <c r="H125" s="25">
        <f>E125*F125</f>
        <v>2.7560000000000002</v>
      </c>
      <c r="I125" s="95">
        <f>(H125)</f>
        <v>2.7560000000000002</v>
      </c>
      <c r="J125" s="5"/>
    </row>
    <row r="126" spans="1:10" ht="16.5" thickBot="1">
      <c r="A126" s="90"/>
      <c r="B126" s="28"/>
      <c r="C126" s="28"/>
      <c r="D126" s="28"/>
      <c r="E126" s="8"/>
      <c r="F126" s="10"/>
      <c r="G126" s="67">
        <v>0</v>
      </c>
      <c r="H126" s="252">
        <f>E125*F125</f>
        <v>2.7560000000000002</v>
      </c>
      <c r="I126" s="88"/>
      <c r="J126" s="11"/>
    </row>
    <row r="127" spans="1:10" ht="16.5" thickTop="1">
      <c r="A127" s="168">
        <v>14.14</v>
      </c>
      <c r="B127" s="69"/>
      <c r="C127" s="69"/>
      <c r="D127" s="69"/>
      <c r="E127" s="70"/>
      <c r="F127" s="84"/>
      <c r="G127" s="115"/>
      <c r="H127" s="115"/>
      <c r="I127" s="89"/>
      <c r="J127" s="71"/>
    </row>
    <row r="128" spans="1:10" s="1" customFormat="1" ht="15.75">
      <c r="A128" s="173" t="s">
        <v>1038</v>
      </c>
      <c r="B128" s="24"/>
      <c r="C128" s="24"/>
      <c r="D128" s="24"/>
      <c r="E128" s="3"/>
      <c r="F128" s="14"/>
      <c r="G128" s="85"/>
      <c r="H128" s="85"/>
      <c r="I128" s="95"/>
      <c r="J128" s="5"/>
    </row>
    <row r="129" spans="1:10" s="1" customFormat="1" ht="15.75">
      <c r="A129" s="173" t="s">
        <v>1039</v>
      </c>
      <c r="B129" s="24"/>
      <c r="C129" s="24"/>
      <c r="D129" s="24"/>
      <c r="E129" s="3"/>
      <c r="F129" s="14"/>
      <c r="G129" s="85"/>
      <c r="H129" s="85"/>
      <c r="I129" s="95"/>
      <c r="J129" s="5"/>
    </row>
    <row r="130" spans="1:10" s="1" customFormat="1" ht="15.75">
      <c r="A130" s="173" t="s">
        <v>1040</v>
      </c>
      <c r="B130" s="24"/>
      <c r="C130" s="24"/>
      <c r="D130" s="24"/>
      <c r="E130" s="3"/>
      <c r="F130" s="14"/>
      <c r="G130" s="85"/>
      <c r="H130" s="85"/>
      <c r="I130" s="95"/>
      <c r="J130" s="5"/>
    </row>
    <row r="131" spans="1:10" s="1" customFormat="1" ht="15.75">
      <c r="A131" s="173" t="s">
        <v>1041</v>
      </c>
      <c r="B131" s="24"/>
      <c r="C131" s="24"/>
      <c r="D131" s="24"/>
      <c r="E131" s="3"/>
      <c r="F131" s="14"/>
      <c r="G131" s="85"/>
      <c r="H131" s="85"/>
      <c r="I131" s="95"/>
      <c r="J131" s="5"/>
    </row>
    <row r="132" spans="1:10" s="1" customFormat="1" ht="15.75">
      <c r="A132" s="172" t="s">
        <v>1042</v>
      </c>
      <c r="B132" s="24"/>
      <c r="C132" s="24" t="s">
        <v>287</v>
      </c>
      <c r="D132" s="24" t="s">
        <v>355</v>
      </c>
      <c r="E132" s="3">
        <v>9.92</v>
      </c>
      <c r="F132" s="14">
        <f aca="true" t="shared" si="1" ref="F132:F146">IF(D132="ag-01",0.12,IF(D132="ag-02",0.09,IF(D132="ar-03",12.03,IF(D132="ag-04",0.13,IF(D132="op-02",4.31,IF(D132="op-01",6.89,IF(D132="ar-08",16,IF(D132="ad-01",0.6))))))))</f>
        <v>0.12</v>
      </c>
      <c r="G132" s="25">
        <f aca="true" t="shared" si="2" ref="G132:G137">E132*F132</f>
        <v>1.1904</v>
      </c>
      <c r="I132" s="95">
        <f>SUM(G132:H139)</f>
        <v>15.24999</v>
      </c>
      <c r="J132" s="5"/>
    </row>
    <row r="133" spans="1:10" s="1" customFormat="1" ht="15.75">
      <c r="A133" s="174" t="s">
        <v>557</v>
      </c>
      <c r="B133" s="24"/>
      <c r="C133" s="24" t="s">
        <v>287</v>
      </c>
      <c r="D133" s="24" t="s">
        <v>377</v>
      </c>
      <c r="E133" s="3">
        <v>4.29</v>
      </c>
      <c r="F133" s="14">
        <f t="shared" si="1"/>
        <v>0.09</v>
      </c>
      <c r="G133" s="25">
        <f t="shared" si="2"/>
        <v>0.3861</v>
      </c>
      <c r="I133" s="95"/>
      <c r="J133" s="53"/>
    </row>
    <row r="134" spans="1:10" s="1" customFormat="1" ht="15.75">
      <c r="A134" s="174" t="s">
        <v>843</v>
      </c>
      <c r="B134" s="24"/>
      <c r="C134" s="24" t="s">
        <v>287</v>
      </c>
      <c r="D134" s="24" t="s">
        <v>844</v>
      </c>
      <c r="E134" s="3">
        <v>0.76</v>
      </c>
      <c r="F134" s="14">
        <f t="shared" si="1"/>
        <v>0.13</v>
      </c>
      <c r="G134" s="25">
        <f t="shared" si="2"/>
        <v>0.0988</v>
      </c>
      <c r="I134" s="95"/>
      <c r="J134" s="53"/>
    </row>
    <row r="135" spans="1:10" s="1" customFormat="1" ht="15.75">
      <c r="A135" s="174" t="s">
        <v>559</v>
      </c>
      <c r="B135" s="24"/>
      <c r="C135" s="24" t="s">
        <v>357</v>
      </c>
      <c r="D135" s="24" t="s">
        <v>560</v>
      </c>
      <c r="E135" s="3">
        <v>0.043</v>
      </c>
      <c r="F135" s="14">
        <f t="shared" si="1"/>
        <v>12.03</v>
      </c>
      <c r="G135" s="25">
        <f t="shared" si="2"/>
        <v>0.5172899999999999</v>
      </c>
      <c r="I135" s="95"/>
      <c r="J135" s="53"/>
    </row>
    <row r="136" spans="1:10" s="1" customFormat="1" ht="15.75">
      <c r="A136" s="174" t="s">
        <v>778</v>
      </c>
      <c r="B136" s="24"/>
      <c r="C136" s="24" t="s">
        <v>357</v>
      </c>
      <c r="D136" s="24" t="s">
        <v>779</v>
      </c>
      <c r="E136" s="3">
        <v>0.007</v>
      </c>
      <c r="F136" s="14">
        <f t="shared" si="1"/>
        <v>16</v>
      </c>
      <c r="G136" s="25">
        <f t="shared" si="2"/>
        <v>0.112</v>
      </c>
      <c r="I136" s="95"/>
      <c r="J136" s="53"/>
    </row>
    <row r="137" spans="1:10" s="1" customFormat="1" ht="15.75">
      <c r="A137" s="174" t="s">
        <v>728</v>
      </c>
      <c r="B137" s="24"/>
      <c r="C137" s="24" t="s">
        <v>287</v>
      </c>
      <c r="D137" s="24" t="s">
        <v>729</v>
      </c>
      <c r="E137" s="3">
        <v>0.38</v>
      </c>
      <c r="F137" s="14">
        <f t="shared" si="1"/>
        <v>0.6</v>
      </c>
      <c r="G137" s="25">
        <f t="shared" si="2"/>
        <v>0.22799999999999998</v>
      </c>
      <c r="I137" s="95"/>
      <c r="J137" s="5"/>
    </row>
    <row r="138" spans="1:10" s="1" customFormat="1" ht="15.75">
      <c r="A138" s="174" t="s">
        <v>289</v>
      </c>
      <c r="B138" s="24"/>
      <c r="C138" s="24" t="s">
        <v>228</v>
      </c>
      <c r="D138" s="24" t="s">
        <v>290</v>
      </c>
      <c r="E138" s="3">
        <v>1.28</v>
      </c>
      <c r="F138" s="14">
        <f>+C215</f>
        <v>6.89</v>
      </c>
      <c r="H138" s="25">
        <f>E138*F138</f>
        <v>8.8192</v>
      </c>
      <c r="I138" s="95"/>
      <c r="J138" s="5"/>
    </row>
    <row r="139" spans="1:10" s="1" customFormat="1" ht="15.75">
      <c r="A139" s="174" t="s">
        <v>227</v>
      </c>
      <c r="B139" s="24"/>
      <c r="C139" s="24" t="s">
        <v>228</v>
      </c>
      <c r="D139" s="24" t="s">
        <v>229</v>
      </c>
      <c r="E139" s="3">
        <v>0.89</v>
      </c>
      <c r="F139" s="14">
        <f>+C216</f>
        <v>4.38</v>
      </c>
      <c r="H139" s="25">
        <f>E139*F139</f>
        <v>3.8982</v>
      </c>
      <c r="I139" s="95"/>
      <c r="J139" s="5"/>
    </row>
    <row r="140" spans="1:10" ht="16.5" thickBot="1">
      <c r="A140" s="90"/>
      <c r="B140" s="72"/>
      <c r="C140" s="28"/>
      <c r="D140" s="28"/>
      <c r="E140" s="8"/>
      <c r="F140" s="73"/>
      <c r="G140" s="252">
        <f>SUM(G132:G137)</f>
        <v>2.53259</v>
      </c>
      <c r="H140" s="67">
        <f>SUM(H138:H139)</f>
        <v>12.717400000000001</v>
      </c>
      <c r="I140" s="88"/>
      <c r="J140" s="11"/>
    </row>
    <row r="141" spans="1:10" ht="16.5" thickTop="1">
      <c r="A141" s="168">
        <v>14.15</v>
      </c>
      <c r="B141" s="113"/>
      <c r="C141" s="69"/>
      <c r="D141" s="69"/>
      <c r="E141" s="70"/>
      <c r="F141" s="139"/>
      <c r="G141" s="115"/>
      <c r="H141" s="115"/>
      <c r="I141" s="89"/>
      <c r="J141" s="71"/>
    </row>
    <row r="142" spans="1:10" s="1" customFormat="1" ht="15.75">
      <c r="A142" s="173" t="s">
        <v>1043</v>
      </c>
      <c r="B142" s="24"/>
      <c r="C142" s="24"/>
      <c r="D142" s="24"/>
      <c r="E142" s="3"/>
      <c r="F142" s="14"/>
      <c r="G142" s="85"/>
      <c r="H142" s="85"/>
      <c r="I142" s="95"/>
      <c r="J142" s="5"/>
    </row>
    <row r="143" spans="1:10" s="1" customFormat="1" ht="15.75">
      <c r="A143" s="173" t="s">
        <v>1044</v>
      </c>
      <c r="B143" s="24"/>
      <c r="C143" s="24"/>
      <c r="D143" s="24"/>
      <c r="E143" s="3"/>
      <c r="F143" s="14"/>
      <c r="G143" s="85"/>
      <c r="H143" s="85"/>
      <c r="I143" s="95"/>
      <c r="J143" s="5"/>
    </row>
    <row r="144" spans="1:10" s="1" customFormat="1" ht="15.75">
      <c r="A144" s="174" t="s">
        <v>624</v>
      </c>
      <c r="B144" s="24"/>
      <c r="C144" s="24" t="s">
        <v>287</v>
      </c>
      <c r="D144" s="24" t="s">
        <v>355</v>
      </c>
      <c r="E144" s="3">
        <v>0.24</v>
      </c>
      <c r="F144" s="14">
        <f t="shared" si="1"/>
        <v>0.12</v>
      </c>
      <c r="G144" s="25">
        <f>E144*F144</f>
        <v>0.0288</v>
      </c>
      <c r="I144" s="95">
        <f>SUM(G144:H148)</f>
        <v>4.5902199999999995</v>
      </c>
      <c r="J144" s="5"/>
    </row>
    <row r="145" spans="1:10" s="1" customFormat="1" ht="15.75">
      <c r="A145" s="174" t="s">
        <v>843</v>
      </c>
      <c r="B145" s="24"/>
      <c r="C145" s="24" t="s">
        <v>287</v>
      </c>
      <c r="D145" s="24" t="s">
        <v>844</v>
      </c>
      <c r="E145" s="3">
        <v>0.76</v>
      </c>
      <c r="F145" s="14">
        <f t="shared" si="1"/>
        <v>0.13</v>
      </c>
      <c r="G145" s="25">
        <f>E145*F145</f>
        <v>0.0988</v>
      </c>
      <c r="I145" s="95"/>
      <c r="J145" s="5"/>
    </row>
    <row r="146" spans="1:10" s="1" customFormat="1" ht="15.75">
      <c r="A146" s="174" t="s">
        <v>1045</v>
      </c>
      <c r="B146" s="24"/>
      <c r="C146" s="24" t="s">
        <v>357</v>
      </c>
      <c r="D146" s="24" t="s">
        <v>560</v>
      </c>
      <c r="E146" s="3">
        <v>0.004</v>
      </c>
      <c r="F146" s="14">
        <f t="shared" si="1"/>
        <v>12.03</v>
      </c>
      <c r="G146" s="25">
        <f>E146*F146</f>
        <v>0.048119999999999996</v>
      </c>
      <c r="I146" s="95"/>
      <c r="J146" s="5"/>
    </row>
    <row r="147" spans="1:10" s="1" customFormat="1" ht="15.75">
      <c r="A147" s="174" t="s">
        <v>289</v>
      </c>
      <c r="B147" s="24"/>
      <c r="C147" s="24" t="s">
        <v>228</v>
      </c>
      <c r="D147" s="24" t="s">
        <v>290</v>
      </c>
      <c r="E147" s="3">
        <v>0.45</v>
      </c>
      <c r="F147" s="14">
        <f>+C215</f>
        <v>6.89</v>
      </c>
      <c r="H147" s="25">
        <f>E147*F147</f>
        <v>3.1005</v>
      </c>
      <c r="I147" s="95"/>
      <c r="J147" s="5"/>
    </row>
    <row r="148" spans="1:10" s="1" customFormat="1" ht="15.75">
      <c r="A148" s="174" t="s">
        <v>227</v>
      </c>
      <c r="B148" s="24"/>
      <c r="C148" s="24" t="s">
        <v>228</v>
      </c>
      <c r="D148" s="24" t="s">
        <v>229</v>
      </c>
      <c r="E148" s="3">
        <v>0.3</v>
      </c>
      <c r="F148" s="14">
        <f>+C216</f>
        <v>4.38</v>
      </c>
      <c r="H148" s="25">
        <f>E148*F148</f>
        <v>1.3139999999999998</v>
      </c>
      <c r="I148" s="95"/>
      <c r="J148" s="5"/>
    </row>
    <row r="149" spans="1:10" ht="16.5" thickBot="1">
      <c r="A149" s="90"/>
      <c r="B149" s="72"/>
      <c r="C149" s="28"/>
      <c r="D149" s="28"/>
      <c r="E149" s="8"/>
      <c r="F149" s="73"/>
      <c r="G149" s="252">
        <f>SUM(G144:G146)</f>
        <v>0.17572</v>
      </c>
      <c r="H149" s="252">
        <f>SUM(H147:H148)</f>
        <v>4.414499999999999</v>
      </c>
      <c r="I149" s="88"/>
      <c r="J149" s="11"/>
    </row>
    <row r="150" spans="1:10" ht="16.5" thickTop="1">
      <c r="A150" s="168">
        <v>14.16</v>
      </c>
      <c r="B150" s="113"/>
      <c r="C150" s="69"/>
      <c r="D150" s="69"/>
      <c r="E150" s="70"/>
      <c r="F150" s="139"/>
      <c r="G150" s="115"/>
      <c r="H150" s="115"/>
      <c r="I150" s="89"/>
      <c r="J150" s="71"/>
    </row>
    <row r="151" spans="1:10" s="1" customFormat="1" ht="15.75">
      <c r="A151" s="173" t="s">
        <v>0</v>
      </c>
      <c r="B151" s="24"/>
      <c r="C151" s="24"/>
      <c r="D151" s="24"/>
      <c r="E151" s="3"/>
      <c r="F151" s="14"/>
      <c r="G151" s="85"/>
      <c r="H151" s="85"/>
      <c r="I151" s="95"/>
      <c r="J151" s="5"/>
    </row>
    <row r="152" spans="1:10" s="1" customFormat="1" ht="15.75">
      <c r="A152" s="173" t="s">
        <v>1</v>
      </c>
      <c r="B152" s="24"/>
      <c r="C152" s="24"/>
      <c r="D152" s="24"/>
      <c r="E152" s="3"/>
      <c r="F152" s="14"/>
      <c r="G152" s="85"/>
      <c r="H152" s="85"/>
      <c r="I152" s="95"/>
      <c r="J152" s="5"/>
    </row>
    <row r="153" spans="1:10" s="1" customFormat="1" ht="15.75">
      <c r="A153" s="173" t="s">
        <v>2</v>
      </c>
      <c r="B153" s="24"/>
      <c r="C153" s="24"/>
      <c r="D153" s="24"/>
      <c r="E153" s="3"/>
      <c r="F153" s="14"/>
      <c r="G153" s="85"/>
      <c r="H153" s="85"/>
      <c r="I153" s="95"/>
      <c r="J153" s="5"/>
    </row>
    <row r="154" spans="1:10" s="1" customFormat="1" ht="15.75">
      <c r="A154" s="173" t="s">
        <v>3</v>
      </c>
      <c r="B154" s="24"/>
      <c r="C154" s="24"/>
      <c r="D154" s="24"/>
      <c r="E154" s="3"/>
      <c r="F154" s="14"/>
      <c r="G154" s="85"/>
      <c r="H154" s="85"/>
      <c r="I154" s="95"/>
      <c r="J154" s="5"/>
    </row>
    <row r="155" spans="1:10" s="1" customFormat="1" ht="15.75">
      <c r="A155" s="173" t="s">
        <v>4</v>
      </c>
      <c r="B155" s="155"/>
      <c r="C155" s="155"/>
      <c r="D155" s="155"/>
      <c r="E155" s="157"/>
      <c r="F155" s="158"/>
      <c r="G155" s="85"/>
      <c r="H155" s="85"/>
      <c r="I155" s="95"/>
      <c r="J155" s="5"/>
    </row>
    <row r="156" spans="1:10" s="1" customFormat="1" ht="15.75">
      <c r="A156" s="174"/>
      <c r="B156" s="155"/>
      <c r="C156" s="155"/>
      <c r="D156" s="155"/>
      <c r="E156" s="157"/>
      <c r="F156" s="158"/>
      <c r="G156" s="85"/>
      <c r="H156" s="85"/>
      <c r="I156" s="95"/>
      <c r="J156" s="5"/>
    </row>
    <row r="157" spans="1:10" s="1" customFormat="1" ht="15.75">
      <c r="A157" s="174"/>
      <c r="B157" s="155"/>
      <c r="C157" s="155"/>
      <c r="D157" s="155"/>
      <c r="E157" s="157"/>
      <c r="F157" s="158"/>
      <c r="G157" s="85"/>
      <c r="H157" s="85"/>
      <c r="I157" s="95"/>
      <c r="J157" s="5"/>
    </row>
    <row r="158" spans="1:10" s="1" customFormat="1" ht="15.75">
      <c r="A158" s="174"/>
      <c r="B158" s="155"/>
      <c r="C158" s="155"/>
      <c r="D158" s="155"/>
      <c r="E158" s="157"/>
      <c r="F158" s="158"/>
      <c r="G158" s="85"/>
      <c r="H158" s="85"/>
      <c r="I158" s="95"/>
      <c r="J158" s="5"/>
    </row>
    <row r="159" spans="1:10" s="1" customFormat="1" ht="15.75">
      <c r="A159" s="174"/>
      <c r="B159" s="155"/>
      <c r="C159" s="155"/>
      <c r="D159" s="155"/>
      <c r="E159" s="157"/>
      <c r="F159" s="158"/>
      <c r="G159" s="85"/>
      <c r="H159" s="85"/>
      <c r="I159" s="95"/>
      <c r="J159" s="5"/>
    </row>
    <row r="160" spans="1:10" s="1" customFormat="1" ht="15.75">
      <c r="A160" s="174"/>
      <c r="B160" s="155"/>
      <c r="C160" s="155"/>
      <c r="D160" s="155"/>
      <c r="E160" s="157"/>
      <c r="F160" s="158"/>
      <c r="G160" s="85"/>
      <c r="H160" s="85"/>
      <c r="I160" s="95"/>
      <c r="J160" s="5"/>
    </row>
    <row r="161" spans="1:10" s="1" customFormat="1" ht="15.75">
      <c r="A161" s="174"/>
      <c r="B161" s="155"/>
      <c r="C161" s="155"/>
      <c r="D161" s="155"/>
      <c r="E161" s="157"/>
      <c r="F161" s="158"/>
      <c r="G161" s="85"/>
      <c r="H161" s="85"/>
      <c r="I161" s="95"/>
      <c r="J161" s="5"/>
    </row>
    <row r="162" spans="1:10" s="1" customFormat="1" ht="15.75">
      <c r="A162" s="174"/>
      <c r="B162" s="155"/>
      <c r="C162" s="155"/>
      <c r="D162" s="155"/>
      <c r="E162" s="157"/>
      <c r="F162" s="158"/>
      <c r="G162" s="85"/>
      <c r="H162" s="85"/>
      <c r="I162" s="95"/>
      <c r="J162" s="5"/>
    </row>
    <row r="163" spans="1:10" s="1" customFormat="1" ht="15.75">
      <c r="A163" s="174"/>
      <c r="B163" s="155"/>
      <c r="C163" s="155"/>
      <c r="D163" s="155"/>
      <c r="E163" s="157"/>
      <c r="F163" s="158"/>
      <c r="G163" s="85"/>
      <c r="H163" s="85"/>
      <c r="I163" s="95"/>
      <c r="J163" s="5"/>
    </row>
    <row r="164" spans="1:10" s="1" customFormat="1" ht="15.75">
      <c r="A164" s="174" t="s">
        <v>1016</v>
      </c>
      <c r="B164" s="24" t="s">
        <v>387</v>
      </c>
      <c r="C164" s="24" t="s">
        <v>287</v>
      </c>
      <c r="D164" s="24" t="s">
        <v>5</v>
      </c>
      <c r="E164" s="3">
        <v>27</v>
      </c>
      <c r="F164" s="14">
        <f>IF(D164="pd-05",0.15,IF(D164="op-02",4.31,IF(D164="op-01",6.89,IF(D164="pd-04",2.73))))</f>
        <v>0.15</v>
      </c>
      <c r="G164" s="25">
        <f>E164*F164</f>
        <v>4.05</v>
      </c>
      <c r="I164" s="95">
        <f>SUM(G167,H167)</f>
        <v>7.6574</v>
      </c>
      <c r="J164" s="5"/>
    </row>
    <row r="165" spans="1:10" s="1" customFormat="1" ht="15.75">
      <c r="A165" s="174" t="s">
        <v>289</v>
      </c>
      <c r="B165" s="24"/>
      <c r="C165" s="24" t="s">
        <v>228</v>
      </c>
      <c r="D165" s="24" t="s">
        <v>290</v>
      </c>
      <c r="E165" s="3">
        <v>0.46</v>
      </c>
      <c r="F165" s="14">
        <f>+C215</f>
        <v>6.89</v>
      </c>
      <c r="H165" s="25">
        <f>E165*F165</f>
        <v>3.1694</v>
      </c>
      <c r="I165" s="95"/>
      <c r="J165" s="5"/>
    </row>
    <row r="166" spans="1:10" s="1" customFormat="1" ht="15.75">
      <c r="A166" s="174" t="s">
        <v>227</v>
      </c>
      <c r="B166" s="24"/>
      <c r="C166" s="24" t="s">
        <v>228</v>
      </c>
      <c r="D166" s="24" t="s">
        <v>229</v>
      </c>
      <c r="E166" s="3">
        <v>0.1</v>
      </c>
      <c r="F166" s="14">
        <f>+C216</f>
        <v>4.38</v>
      </c>
      <c r="H166" s="25">
        <f>E166*F166</f>
        <v>0.438</v>
      </c>
      <c r="I166" s="95"/>
      <c r="J166" s="5"/>
    </row>
    <row r="167" spans="1:10" s="1" customFormat="1" ht="15.75">
      <c r="A167" s="174"/>
      <c r="B167" s="24"/>
      <c r="C167" s="24"/>
      <c r="D167" s="24"/>
      <c r="E167" s="3"/>
      <c r="F167" s="14"/>
      <c r="G167" s="211">
        <f>E164*F164</f>
        <v>4.05</v>
      </c>
      <c r="H167" s="211">
        <f>SUM(H165:H166)</f>
        <v>3.6074</v>
      </c>
      <c r="I167" s="95"/>
      <c r="J167" s="5"/>
    </row>
    <row r="168" spans="1:10" s="1" customFormat="1" ht="15.75">
      <c r="A168" s="173" t="s">
        <v>6</v>
      </c>
      <c r="B168" s="24"/>
      <c r="C168" s="24"/>
      <c r="D168" s="24"/>
      <c r="E168" s="3"/>
      <c r="F168" s="14"/>
      <c r="G168" s="76"/>
      <c r="H168" s="76"/>
      <c r="I168" s="95"/>
      <c r="J168" s="5"/>
    </row>
    <row r="169" spans="1:10" s="1" customFormat="1" ht="15.75">
      <c r="A169" s="173" t="s">
        <v>7</v>
      </c>
      <c r="B169" s="24"/>
      <c r="C169" s="24"/>
      <c r="D169" s="24"/>
      <c r="E169" s="3"/>
      <c r="F169" s="14"/>
      <c r="G169" s="76"/>
      <c r="H169" s="76"/>
      <c r="I169" s="95"/>
      <c r="J169" s="5"/>
    </row>
    <row r="170" spans="1:10" s="1" customFormat="1" ht="15.75">
      <c r="A170" s="173"/>
      <c r="B170" s="24"/>
      <c r="C170" s="24"/>
      <c r="D170" s="24"/>
      <c r="E170" s="3"/>
      <c r="F170" s="14"/>
      <c r="G170" s="76"/>
      <c r="H170" s="76"/>
      <c r="I170" s="95"/>
      <c r="J170" s="5"/>
    </row>
    <row r="171" spans="1:10" s="1" customFormat="1" ht="15.75">
      <c r="A171" s="173"/>
      <c r="B171" s="24"/>
      <c r="C171" s="24"/>
      <c r="D171" s="24"/>
      <c r="E171" s="3"/>
      <c r="F171" s="14"/>
      <c r="G171" s="76"/>
      <c r="H171" s="76"/>
      <c r="I171" s="95"/>
      <c r="J171" s="5"/>
    </row>
    <row r="172" spans="1:10" s="1" customFormat="1" ht="15.75">
      <c r="A172" s="173"/>
      <c r="B172" s="24"/>
      <c r="C172" s="24"/>
      <c r="D172" s="24"/>
      <c r="E172" s="3"/>
      <c r="F172" s="14"/>
      <c r="G172" s="76"/>
      <c r="H172" s="76"/>
      <c r="I172" s="95"/>
      <c r="J172" s="5"/>
    </row>
    <row r="173" spans="1:10" s="1" customFormat="1" ht="15.75">
      <c r="A173" s="173"/>
      <c r="B173" s="24"/>
      <c r="C173" s="24"/>
      <c r="D173" s="24"/>
      <c r="E173" s="3"/>
      <c r="F173" s="14"/>
      <c r="G173" s="76"/>
      <c r="H173" s="76"/>
      <c r="I173" s="95"/>
      <c r="J173" s="5"/>
    </row>
    <row r="174" spans="1:10" s="1" customFormat="1" ht="15.75">
      <c r="A174" s="173"/>
      <c r="B174" s="24"/>
      <c r="C174" s="24"/>
      <c r="D174" s="24"/>
      <c r="E174" s="3"/>
      <c r="F174" s="14"/>
      <c r="G174" s="76"/>
      <c r="H174" s="76"/>
      <c r="I174" s="95"/>
      <c r="J174" s="5"/>
    </row>
    <row r="175" spans="1:10" s="1" customFormat="1" ht="15.75">
      <c r="A175" s="173"/>
      <c r="B175" s="24"/>
      <c r="C175" s="24"/>
      <c r="D175" s="24"/>
      <c r="E175" s="3"/>
      <c r="F175" s="14"/>
      <c r="G175" s="76"/>
      <c r="H175" s="76"/>
      <c r="I175" s="95"/>
      <c r="J175" s="5"/>
    </row>
    <row r="176" spans="1:10" s="1" customFormat="1" ht="15.75">
      <c r="A176" s="173"/>
      <c r="B176" s="24"/>
      <c r="C176" s="24"/>
      <c r="D176" s="24"/>
      <c r="E176" s="3"/>
      <c r="F176" s="14"/>
      <c r="G176" s="76"/>
      <c r="H176" s="76"/>
      <c r="I176" s="95"/>
      <c r="J176" s="5"/>
    </row>
    <row r="177" spans="1:10" s="1" customFormat="1" ht="15.75">
      <c r="A177" s="174" t="s">
        <v>1016</v>
      </c>
      <c r="B177" s="24" t="s">
        <v>389</v>
      </c>
      <c r="C177" s="24" t="s">
        <v>287</v>
      </c>
      <c r="D177" s="24" t="s">
        <v>5</v>
      </c>
      <c r="E177" s="3">
        <v>27</v>
      </c>
      <c r="F177" s="14">
        <f>IF(D177="pd-05",0.15,IF(D177="op-02",4.31,IF(D177="op-01",6.89,IF(D177="pd-04",2.73))))</f>
        <v>0.15</v>
      </c>
      <c r="G177" s="25">
        <f>E177*F177</f>
        <v>4.05</v>
      </c>
      <c r="I177" s="95">
        <f>SUM(G180,H180)</f>
        <v>8.1018</v>
      </c>
      <c r="J177" s="5"/>
    </row>
    <row r="178" spans="1:10" s="1" customFormat="1" ht="15.75">
      <c r="A178" s="174" t="s">
        <v>289</v>
      </c>
      <c r="B178" s="24"/>
      <c r="C178" s="24" t="s">
        <v>228</v>
      </c>
      <c r="D178" s="24" t="s">
        <v>290</v>
      </c>
      <c r="E178" s="3">
        <v>0.48</v>
      </c>
      <c r="F178" s="14">
        <f>+C215</f>
        <v>6.89</v>
      </c>
      <c r="H178" s="25">
        <f>E178*F178</f>
        <v>3.3072</v>
      </c>
      <c r="I178" s="95"/>
      <c r="J178" s="5"/>
    </row>
    <row r="179" spans="1:10" s="1" customFormat="1" ht="15.75">
      <c r="A179" s="174" t="s">
        <v>227</v>
      </c>
      <c r="B179" s="24"/>
      <c r="C179" s="24" t="s">
        <v>228</v>
      </c>
      <c r="D179" s="24" t="s">
        <v>229</v>
      </c>
      <c r="E179" s="3">
        <v>0.17</v>
      </c>
      <c r="F179" s="14">
        <f>+C216</f>
        <v>4.38</v>
      </c>
      <c r="H179" s="25">
        <f>E179*F179</f>
        <v>0.7446</v>
      </c>
      <c r="I179" s="95"/>
      <c r="J179" s="5"/>
    </row>
    <row r="180" spans="1:10" s="108" customFormat="1" ht="16.5" thickBot="1">
      <c r="A180" s="90"/>
      <c r="B180" s="28"/>
      <c r="C180" s="28"/>
      <c r="D180" s="28"/>
      <c r="E180" s="8"/>
      <c r="F180" s="10"/>
      <c r="G180" s="212">
        <f>E177*F177</f>
        <v>4.05</v>
      </c>
      <c r="H180" s="212">
        <f>SUM(H178:H179)</f>
        <v>4.0518</v>
      </c>
      <c r="I180" s="88"/>
      <c r="J180" s="11"/>
    </row>
    <row r="181" spans="1:10" ht="16.5" thickTop="1">
      <c r="A181" s="91">
        <v>14.17</v>
      </c>
      <c r="B181" s="29"/>
      <c r="C181" s="29"/>
      <c r="D181" s="29"/>
      <c r="E181" s="30"/>
      <c r="F181" s="48"/>
      <c r="G181" s="202"/>
      <c r="H181" s="206"/>
      <c r="I181" s="89"/>
      <c r="J181" s="32"/>
    </row>
    <row r="182" spans="1:10" s="1" customFormat="1" ht="15.75">
      <c r="A182" s="174" t="s">
        <v>0</v>
      </c>
      <c r="B182" s="24"/>
      <c r="C182" s="24"/>
      <c r="D182" s="24"/>
      <c r="E182" s="3"/>
      <c r="F182" s="14"/>
      <c r="G182" s="76"/>
      <c r="H182" s="76"/>
      <c r="I182" s="95"/>
      <c r="J182" s="5"/>
    </row>
    <row r="183" spans="1:10" s="1" customFormat="1" ht="15.75">
      <c r="A183" s="174" t="s">
        <v>8</v>
      </c>
      <c r="B183" s="24"/>
      <c r="C183" s="24"/>
      <c r="D183" s="24"/>
      <c r="E183" s="3"/>
      <c r="F183" s="14"/>
      <c r="G183" s="76"/>
      <c r="H183" s="76"/>
      <c r="I183" s="95"/>
      <c r="J183" s="5"/>
    </row>
    <row r="184" spans="1:10" s="1" customFormat="1" ht="15.75">
      <c r="A184" s="174" t="s">
        <v>9</v>
      </c>
      <c r="B184" s="24"/>
      <c r="C184" s="24"/>
      <c r="D184" s="24"/>
      <c r="E184" s="3"/>
      <c r="F184" s="14"/>
      <c r="G184" s="76"/>
      <c r="H184" s="76"/>
      <c r="I184" s="95"/>
      <c r="J184" s="5"/>
    </row>
    <row r="185" spans="1:10" s="1" customFormat="1" ht="15.75">
      <c r="A185" s="174"/>
      <c r="B185" s="24"/>
      <c r="C185" s="24"/>
      <c r="D185" s="24"/>
      <c r="E185" s="3"/>
      <c r="F185" s="14"/>
      <c r="G185" s="76"/>
      <c r="H185" s="76"/>
      <c r="I185" s="95"/>
      <c r="J185" s="5"/>
    </row>
    <row r="186" spans="1:10" s="1" customFormat="1" ht="15.75">
      <c r="A186" s="174" t="s">
        <v>10</v>
      </c>
      <c r="B186" s="24"/>
      <c r="C186" s="24"/>
      <c r="D186" s="24"/>
      <c r="E186" s="3"/>
      <c r="F186" s="14"/>
      <c r="G186" s="76"/>
      <c r="H186" s="76"/>
      <c r="I186" s="95"/>
      <c r="J186" s="5"/>
    </row>
    <row r="187" spans="1:10" s="1" customFormat="1" ht="15.75">
      <c r="A187" s="174" t="s">
        <v>11</v>
      </c>
      <c r="B187" s="24"/>
      <c r="C187" s="24"/>
      <c r="D187" s="24"/>
      <c r="E187" s="3"/>
      <c r="F187" s="14"/>
      <c r="G187" s="76"/>
      <c r="H187" s="76"/>
      <c r="I187" s="95"/>
      <c r="J187" s="5"/>
    </row>
    <row r="188" spans="1:10" s="1" customFormat="1" ht="15.75">
      <c r="A188" s="174"/>
      <c r="B188" s="24"/>
      <c r="C188" s="24"/>
      <c r="D188" s="24"/>
      <c r="E188" s="3"/>
      <c r="F188" s="14"/>
      <c r="G188" s="76"/>
      <c r="H188" s="76"/>
      <c r="I188" s="95"/>
      <c r="J188" s="5"/>
    </row>
    <row r="189" spans="1:10" s="1" customFormat="1" ht="15.75">
      <c r="A189" s="174"/>
      <c r="B189" s="24"/>
      <c r="C189" s="24"/>
      <c r="D189" s="24"/>
      <c r="E189" s="3"/>
      <c r="F189" s="14"/>
      <c r="G189" s="76"/>
      <c r="H189" s="76"/>
      <c r="I189" s="95"/>
      <c r="J189" s="5"/>
    </row>
    <row r="190" spans="1:10" s="1" customFormat="1" ht="15.75">
      <c r="A190" s="174"/>
      <c r="B190" s="24"/>
      <c r="C190" s="24"/>
      <c r="D190" s="24"/>
      <c r="E190" s="3"/>
      <c r="F190" s="14"/>
      <c r="G190" s="76"/>
      <c r="H190" s="76"/>
      <c r="I190" s="95"/>
      <c r="J190" s="5"/>
    </row>
    <row r="191" spans="1:10" s="1" customFormat="1" ht="15.75">
      <c r="A191" s="174"/>
      <c r="B191" s="24"/>
      <c r="C191" s="24"/>
      <c r="D191" s="24"/>
      <c r="E191" s="3"/>
      <c r="F191" s="14"/>
      <c r="G191" s="76"/>
      <c r="H191" s="76"/>
      <c r="I191" s="95"/>
      <c r="J191" s="5"/>
    </row>
    <row r="192" spans="1:10" s="1" customFormat="1" ht="15.75">
      <c r="A192" s="174"/>
      <c r="B192" s="24"/>
      <c r="C192" s="24"/>
      <c r="D192" s="24"/>
      <c r="E192" s="3"/>
      <c r="F192" s="14"/>
      <c r="G192" s="76"/>
      <c r="H192" s="76"/>
      <c r="I192" s="95"/>
      <c r="J192" s="5"/>
    </row>
    <row r="193" spans="1:10" s="1" customFormat="1" ht="15.75">
      <c r="A193" s="174"/>
      <c r="B193" s="24"/>
      <c r="C193" s="24"/>
      <c r="D193" s="24"/>
      <c r="E193" s="3"/>
      <c r="F193" s="14"/>
      <c r="G193" s="76"/>
      <c r="H193" s="76"/>
      <c r="I193" s="95"/>
      <c r="J193" s="5"/>
    </row>
    <row r="194" spans="1:10" s="1" customFormat="1" ht="15.75">
      <c r="A194" s="174"/>
      <c r="B194" s="24"/>
      <c r="C194" s="24"/>
      <c r="D194" s="24"/>
      <c r="E194" s="3"/>
      <c r="F194" s="14"/>
      <c r="G194" s="76"/>
      <c r="H194" s="76"/>
      <c r="I194" s="95"/>
      <c r="J194" s="5"/>
    </row>
    <row r="195" spans="1:10" s="1" customFormat="1" ht="15.75">
      <c r="A195" s="174" t="s">
        <v>1016</v>
      </c>
      <c r="B195" s="24" t="s">
        <v>387</v>
      </c>
      <c r="C195" s="24" t="s">
        <v>287</v>
      </c>
      <c r="D195" s="24" t="s">
        <v>12</v>
      </c>
      <c r="E195" s="3">
        <v>15.8</v>
      </c>
      <c r="F195" s="14">
        <f>IF(D195="pd-06",0.11,IF(D195="op-02",4.31,IF(D195="op-01",6.89,IF(D195="pd-04",2.73))))</f>
        <v>0.11</v>
      </c>
      <c r="G195" s="25">
        <f>E195*F195</f>
        <v>1.738</v>
      </c>
      <c r="I195" s="95">
        <f>SUM(G198,H198)</f>
        <v>5.5334</v>
      </c>
      <c r="J195" s="5"/>
    </row>
    <row r="196" spans="1:10" s="1" customFormat="1" ht="15.75">
      <c r="A196" s="174" t="s">
        <v>289</v>
      </c>
      <c r="B196" s="24"/>
      <c r="C196" s="24" t="s">
        <v>228</v>
      </c>
      <c r="D196" s="24" t="s">
        <v>290</v>
      </c>
      <c r="E196" s="3">
        <v>0.5</v>
      </c>
      <c r="F196" s="14">
        <f>+C215</f>
        <v>6.89</v>
      </c>
      <c r="H196" s="25">
        <f>E196*F196</f>
        <v>3.445</v>
      </c>
      <c r="I196" s="95"/>
      <c r="J196" s="5"/>
    </row>
    <row r="197" spans="1:10" s="1" customFormat="1" ht="15.75">
      <c r="A197" s="174" t="s">
        <v>227</v>
      </c>
      <c r="B197" s="24"/>
      <c r="C197" s="24" t="s">
        <v>228</v>
      </c>
      <c r="D197" s="24" t="s">
        <v>229</v>
      </c>
      <c r="E197" s="3">
        <v>0.08</v>
      </c>
      <c r="F197" s="14">
        <f>+C216</f>
        <v>4.38</v>
      </c>
      <c r="H197" s="25">
        <f>E197*F197</f>
        <v>0.3504</v>
      </c>
      <c r="I197" s="95"/>
      <c r="J197" s="5"/>
    </row>
    <row r="198" spans="1:10" s="1" customFormat="1" ht="15.75">
      <c r="A198" s="174"/>
      <c r="B198" s="24"/>
      <c r="C198" s="24"/>
      <c r="D198" s="24"/>
      <c r="E198" s="3"/>
      <c r="F198" s="14"/>
      <c r="G198" s="258">
        <f>E195*F195</f>
        <v>1.738</v>
      </c>
      <c r="H198" s="211">
        <f>SUM(H196:H197)</f>
        <v>3.7954</v>
      </c>
      <c r="I198" s="95"/>
      <c r="J198" s="5"/>
    </row>
    <row r="199" spans="1:10" s="1" customFormat="1" ht="15.75">
      <c r="A199" s="173" t="s">
        <v>13</v>
      </c>
      <c r="B199" s="24"/>
      <c r="C199" s="24"/>
      <c r="D199" s="24"/>
      <c r="E199" s="3"/>
      <c r="F199" s="14"/>
      <c r="G199" s="76"/>
      <c r="H199" s="76"/>
      <c r="I199" s="95"/>
      <c r="J199" s="5"/>
    </row>
    <row r="200" spans="1:10" s="1" customFormat="1" ht="15.75">
      <c r="A200" s="173" t="s">
        <v>14</v>
      </c>
      <c r="B200" s="24"/>
      <c r="C200" s="24"/>
      <c r="D200" s="24"/>
      <c r="E200" s="3"/>
      <c r="F200" s="14"/>
      <c r="G200" s="76"/>
      <c r="H200" s="76"/>
      <c r="I200" s="95"/>
      <c r="J200" s="5"/>
    </row>
    <row r="201" spans="1:10" s="1" customFormat="1" ht="15.75">
      <c r="A201" s="174"/>
      <c r="B201" s="24"/>
      <c r="C201" s="24"/>
      <c r="D201" s="24"/>
      <c r="E201" s="3"/>
      <c r="F201" s="14"/>
      <c r="G201" s="76"/>
      <c r="H201" s="76"/>
      <c r="I201" s="95"/>
      <c r="J201" s="5"/>
    </row>
    <row r="202" spans="1:10" s="1" customFormat="1" ht="15.75">
      <c r="A202" s="174"/>
      <c r="B202" s="24"/>
      <c r="C202" s="24"/>
      <c r="D202" s="24"/>
      <c r="E202" s="3"/>
      <c r="F202" s="14"/>
      <c r="G202" s="76"/>
      <c r="H202" s="76"/>
      <c r="I202" s="95"/>
      <c r="J202" s="5"/>
    </row>
    <row r="203" spans="1:10" s="1" customFormat="1" ht="15.75">
      <c r="A203" s="174"/>
      <c r="B203" s="24"/>
      <c r="C203" s="24"/>
      <c r="D203" s="24"/>
      <c r="E203" s="3"/>
      <c r="F203" s="14"/>
      <c r="G203" s="76"/>
      <c r="H203" s="76"/>
      <c r="I203" s="95"/>
      <c r="J203" s="5"/>
    </row>
    <row r="204" spans="1:10" s="1" customFormat="1" ht="15.75">
      <c r="A204" s="174"/>
      <c r="B204" s="24"/>
      <c r="C204" s="24"/>
      <c r="D204" s="24"/>
      <c r="E204" s="3"/>
      <c r="F204" s="14"/>
      <c r="G204" s="76"/>
      <c r="H204" s="76"/>
      <c r="I204" s="95"/>
      <c r="J204" s="5"/>
    </row>
    <row r="205" spans="1:10" s="1" customFormat="1" ht="15.75">
      <c r="A205" s="174"/>
      <c r="B205" s="24"/>
      <c r="C205" s="24"/>
      <c r="D205" s="24"/>
      <c r="E205" s="3"/>
      <c r="F205" s="14"/>
      <c r="G205" s="76"/>
      <c r="H205" s="76"/>
      <c r="I205" s="95"/>
      <c r="J205" s="5"/>
    </row>
    <row r="206" spans="1:10" s="1" customFormat="1" ht="15.75">
      <c r="A206" s="174"/>
      <c r="B206" s="24"/>
      <c r="C206" s="24"/>
      <c r="D206" s="24"/>
      <c r="E206" s="3"/>
      <c r="F206" s="14"/>
      <c r="G206" s="76"/>
      <c r="H206" s="76"/>
      <c r="I206" s="95"/>
      <c r="J206" s="5"/>
    </row>
    <row r="207" spans="1:10" s="1" customFormat="1" ht="15.75">
      <c r="A207" s="174"/>
      <c r="B207" s="24"/>
      <c r="C207" s="24"/>
      <c r="D207" s="24"/>
      <c r="E207" s="3"/>
      <c r="F207" s="14"/>
      <c r="G207" s="76"/>
      <c r="H207" s="76"/>
      <c r="I207" s="95"/>
      <c r="J207" s="5"/>
    </row>
    <row r="208" spans="1:10" s="1" customFormat="1" ht="15.75">
      <c r="A208" s="174" t="s">
        <v>1016</v>
      </c>
      <c r="B208" s="24" t="s">
        <v>389</v>
      </c>
      <c r="C208" s="24" t="s">
        <v>287</v>
      </c>
      <c r="D208" s="24" t="s">
        <v>12</v>
      </c>
      <c r="E208" s="3">
        <v>15.8</v>
      </c>
      <c r="F208" s="14">
        <f>IF(D208="pd-06",0.11,IF(D208="op-02",4.31,IF(D208="op-01",6.89,IF(D208="pd-04",2.73))))</f>
        <v>0.11</v>
      </c>
      <c r="G208" s="25">
        <f>E208*F208</f>
        <v>1.738</v>
      </c>
      <c r="I208" s="95">
        <f>SUM(G211,H211)</f>
        <v>6.0029</v>
      </c>
      <c r="J208" s="5"/>
    </row>
    <row r="209" spans="1:10" s="1" customFormat="1" ht="15.75">
      <c r="A209" s="174" t="s">
        <v>289</v>
      </c>
      <c r="B209" s="24"/>
      <c r="C209" s="24" t="s">
        <v>228</v>
      </c>
      <c r="D209" s="24" t="s">
        <v>290</v>
      </c>
      <c r="E209" s="3">
        <v>0.53</v>
      </c>
      <c r="F209" s="14">
        <f>+C215</f>
        <v>6.89</v>
      </c>
      <c r="H209" s="25">
        <f>E209*F209</f>
        <v>3.6517</v>
      </c>
      <c r="I209" s="95"/>
      <c r="J209" s="5"/>
    </row>
    <row r="210" spans="1:10" s="1" customFormat="1" ht="15.75">
      <c r="A210" s="174" t="s">
        <v>227</v>
      </c>
      <c r="B210" s="24"/>
      <c r="C210" s="24" t="s">
        <v>228</v>
      </c>
      <c r="D210" s="24" t="s">
        <v>229</v>
      </c>
      <c r="E210" s="3">
        <v>0.14</v>
      </c>
      <c r="F210" s="14">
        <f>+C216</f>
        <v>4.38</v>
      </c>
      <c r="H210" s="25">
        <f>E210*F210</f>
        <v>0.6132000000000001</v>
      </c>
      <c r="I210" s="95"/>
      <c r="J210" s="5"/>
    </row>
    <row r="211" spans="1:10" ht="16.5" thickBot="1">
      <c r="A211" s="93"/>
      <c r="B211" s="34"/>
      <c r="C211" s="34"/>
      <c r="D211" s="34"/>
      <c r="E211" s="18"/>
      <c r="F211" s="16"/>
      <c r="G211" s="261">
        <f>E208*F208</f>
        <v>1.738</v>
      </c>
      <c r="H211" s="261">
        <f>SUM(H209:H210)</f>
        <v>4.2649</v>
      </c>
      <c r="I211" s="92"/>
      <c r="J211" s="20"/>
    </row>
    <row r="212" spans="1:10" ht="16.5" thickTop="1">
      <c r="A212" s="191"/>
      <c r="B212" s="40"/>
      <c r="C212" s="40"/>
      <c r="D212" s="40"/>
      <c r="E212" s="23"/>
      <c r="F212" s="21"/>
      <c r="G212" s="21"/>
      <c r="H212" s="21"/>
      <c r="I212" s="21"/>
      <c r="J212" s="21"/>
    </row>
    <row r="213" spans="1:10" ht="15.75">
      <c r="A213" s="208"/>
      <c r="B213" s="40"/>
      <c r="C213" s="40"/>
      <c r="D213" s="40"/>
      <c r="E213" s="23"/>
      <c r="F213" s="21"/>
      <c r="G213" s="21"/>
      <c r="H213" s="21"/>
      <c r="I213" s="21"/>
      <c r="J213" s="21"/>
    </row>
    <row r="214" spans="1:10" ht="15.75">
      <c r="A214" s="209"/>
      <c r="B214" s="40"/>
      <c r="C214" s="40"/>
      <c r="D214" s="40"/>
      <c r="E214" s="23"/>
      <c r="F214" s="21"/>
      <c r="G214" s="21"/>
      <c r="H214" s="21"/>
      <c r="I214" s="21"/>
      <c r="J214" s="21"/>
    </row>
    <row r="215" spans="1:10" ht="15.75">
      <c r="A215" s="209"/>
      <c r="B215" s="301" t="s">
        <v>290</v>
      </c>
      <c r="C215" s="40">
        <v>6.89</v>
      </c>
      <c r="D215" s="40"/>
      <c r="E215" s="23"/>
      <c r="F215" s="21"/>
      <c r="G215" s="21"/>
      <c r="H215" s="21"/>
      <c r="I215" s="21"/>
      <c r="J215" s="21"/>
    </row>
    <row r="216" spans="1:10" ht="15.75">
      <c r="A216" s="209"/>
      <c r="B216" s="301" t="s">
        <v>229</v>
      </c>
      <c r="C216" s="40">
        <v>4.38</v>
      </c>
      <c r="D216" s="40"/>
      <c r="E216" s="23"/>
      <c r="F216" s="21"/>
      <c r="G216" s="21"/>
      <c r="H216" s="21"/>
      <c r="I216" s="21"/>
      <c r="J216" s="21"/>
    </row>
    <row r="217" spans="1:10" ht="15.75">
      <c r="A217" s="209"/>
      <c r="B217" s="40"/>
      <c r="C217" s="40"/>
      <c r="D217" s="40"/>
      <c r="E217" s="23"/>
      <c r="F217" s="21"/>
      <c r="G217" s="21"/>
      <c r="H217" s="21"/>
      <c r="I217" s="21"/>
      <c r="J217" s="21"/>
    </row>
    <row r="218" spans="1:10" ht="15.75">
      <c r="A218" s="209"/>
      <c r="B218" s="40"/>
      <c r="C218" s="40"/>
      <c r="D218" s="40"/>
      <c r="E218" s="23"/>
      <c r="F218" s="21"/>
      <c r="G218" s="21"/>
      <c r="H218" s="21"/>
      <c r="I218" s="21"/>
      <c r="J218" s="21"/>
    </row>
    <row r="219" spans="1:10" ht="15.75">
      <c r="A219" s="209"/>
      <c r="B219" s="40"/>
      <c r="C219" s="40"/>
      <c r="D219" s="40"/>
      <c r="E219" s="23"/>
      <c r="F219" s="21"/>
      <c r="G219" s="21"/>
      <c r="H219" s="21"/>
      <c r="I219" s="21"/>
      <c r="J219" s="21"/>
    </row>
    <row r="220" spans="1:10" ht="15.75">
      <c r="A220" s="209"/>
      <c r="B220" s="40"/>
      <c r="C220" s="40"/>
      <c r="D220" s="40"/>
      <c r="E220" s="23"/>
      <c r="F220" s="21"/>
      <c r="G220" s="21"/>
      <c r="H220" s="21"/>
      <c r="I220" s="21"/>
      <c r="J220" s="21"/>
    </row>
    <row r="221" spans="1:10" ht="15.75">
      <c r="A221" s="209"/>
      <c r="B221" s="40"/>
      <c r="C221" s="40"/>
      <c r="D221" s="40"/>
      <c r="E221" s="23"/>
      <c r="F221" s="21"/>
      <c r="G221" s="21"/>
      <c r="H221" s="21"/>
      <c r="I221" s="21"/>
      <c r="J221" s="21"/>
    </row>
    <row r="222" spans="1:10" ht="15.75">
      <c r="A222" s="209"/>
      <c r="B222" s="40"/>
      <c r="C222" s="40"/>
      <c r="D222" s="40"/>
      <c r="E222" s="23"/>
      <c r="F222" s="21"/>
      <c r="G222" s="21"/>
      <c r="H222" s="21"/>
      <c r="I222" s="21"/>
      <c r="J222" s="21"/>
    </row>
    <row r="223" spans="1:10" ht="15.75">
      <c r="A223" s="209"/>
      <c r="B223" s="40"/>
      <c r="C223" s="40"/>
      <c r="D223" s="40"/>
      <c r="E223" s="23"/>
      <c r="F223" s="21"/>
      <c r="G223" s="21"/>
      <c r="H223" s="21"/>
      <c r="I223" s="21"/>
      <c r="J223" s="21"/>
    </row>
    <row r="224" spans="1:10" ht="15.75">
      <c r="A224" s="209"/>
      <c r="B224" s="40"/>
      <c r="C224" s="40"/>
      <c r="D224" s="40"/>
      <c r="E224" s="23"/>
      <c r="F224" s="21"/>
      <c r="G224" s="21"/>
      <c r="H224" s="21"/>
      <c r="I224" s="21"/>
      <c r="J224" s="21"/>
    </row>
    <row r="225" spans="1:10" ht="15.75">
      <c r="A225" s="209"/>
      <c r="B225" s="40"/>
      <c r="C225" s="40"/>
      <c r="D225" s="40"/>
      <c r="E225" s="23"/>
      <c r="F225" s="21"/>
      <c r="G225" s="21"/>
      <c r="H225" s="21"/>
      <c r="I225" s="21"/>
      <c r="J225" s="21"/>
    </row>
    <row r="226" spans="1:10" ht="15.75">
      <c r="A226" s="209"/>
      <c r="B226" s="40"/>
      <c r="C226" s="40"/>
      <c r="D226" s="40"/>
      <c r="E226" s="23"/>
      <c r="F226" s="21"/>
      <c r="G226" s="21"/>
      <c r="H226" s="21"/>
      <c r="I226" s="21"/>
      <c r="J226" s="21"/>
    </row>
    <row r="227" spans="1:10" ht="15.75">
      <c r="A227" s="209"/>
      <c r="B227" s="40"/>
      <c r="C227" s="40"/>
      <c r="D227" s="40"/>
      <c r="E227" s="23"/>
      <c r="F227" s="21"/>
      <c r="G227" s="21"/>
      <c r="H227" s="21"/>
      <c r="I227" s="21"/>
      <c r="J227" s="21"/>
    </row>
    <row r="228" spans="1:10" ht="15.75">
      <c r="A228" s="209"/>
      <c r="B228" s="40"/>
      <c r="C228" s="40"/>
      <c r="D228" s="40"/>
      <c r="E228" s="23"/>
      <c r="F228" s="21"/>
      <c r="G228" s="21"/>
      <c r="H228" s="21"/>
      <c r="I228" s="21"/>
      <c r="J228" s="21"/>
    </row>
    <row r="229" spans="1:10" ht="15.75">
      <c r="A229" s="209"/>
      <c r="B229" s="40"/>
      <c r="C229" s="40"/>
      <c r="D229" s="40"/>
      <c r="E229" s="23"/>
      <c r="F229" s="21"/>
      <c r="G229" s="21"/>
      <c r="H229" s="21"/>
      <c r="I229" s="21"/>
      <c r="J229" s="21"/>
    </row>
    <row r="230" spans="1:10" ht="15.75">
      <c r="A230" s="209"/>
      <c r="B230" s="40"/>
      <c r="C230" s="40"/>
      <c r="D230" s="40"/>
      <c r="E230" s="23"/>
      <c r="F230" s="21"/>
      <c r="G230" s="21"/>
      <c r="H230" s="21"/>
      <c r="I230" s="21"/>
      <c r="J230" s="21"/>
    </row>
    <row r="231" spans="1:10" ht="15.75">
      <c r="A231" s="209"/>
      <c r="B231" s="40"/>
      <c r="C231" s="40"/>
      <c r="D231" s="40"/>
      <c r="E231" s="23"/>
      <c r="F231" s="21"/>
      <c r="G231" s="21"/>
      <c r="H231" s="21"/>
      <c r="I231" s="21"/>
      <c r="J231" s="21"/>
    </row>
    <row r="232" spans="1:10" ht="15.75">
      <c r="A232" s="209"/>
      <c r="B232" s="40"/>
      <c r="C232" s="40"/>
      <c r="D232" s="40"/>
      <c r="E232" s="23"/>
      <c r="F232" s="21"/>
      <c r="G232" s="21"/>
      <c r="H232" s="21"/>
      <c r="I232" s="21"/>
      <c r="J232" s="21"/>
    </row>
    <row r="233" spans="1:10" ht="15.75">
      <c r="A233" s="209"/>
      <c r="B233" s="40"/>
      <c r="C233" s="40"/>
      <c r="D233" s="40"/>
      <c r="E233" s="23"/>
      <c r="F233" s="21"/>
      <c r="G233" s="21"/>
      <c r="H233" s="21"/>
      <c r="I233" s="21"/>
      <c r="J233" s="21"/>
    </row>
    <row r="234" spans="1:10" ht="15.75">
      <c r="A234" s="209"/>
      <c r="B234" s="40"/>
      <c r="C234" s="40"/>
      <c r="D234" s="40"/>
      <c r="E234" s="23"/>
      <c r="F234" s="21"/>
      <c r="G234" s="21"/>
      <c r="H234" s="21"/>
      <c r="I234" s="21"/>
      <c r="J234" s="21"/>
    </row>
    <row r="235" spans="1:10" ht="15.75">
      <c r="A235" s="209"/>
      <c r="B235" s="40"/>
      <c r="C235" s="40"/>
      <c r="D235" s="40"/>
      <c r="E235" s="23"/>
      <c r="F235" s="21"/>
      <c r="G235" s="21"/>
      <c r="H235" s="21"/>
      <c r="I235" s="21"/>
      <c r="J235" s="21"/>
    </row>
    <row r="236" spans="1:10" ht="15.75">
      <c r="A236" s="209"/>
      <c r="B236" s="40"/>
      <c r="C236" s="40"/>
      <c r="D236" s="40"/>
      <c r="E236" s="23"/>
      <c r="F236" s="21"/>
      <c r="G236" s="21"/>
      <c r="H236" s="21"/>
      <c r="I236" s="21"/>
      <c r="J236" s="21"/>
    </row>
    <row r="237" spans="1:10" ht="15.75">
      <c r="A237" s="209"/>
      <c r="B237" s="40"/>
      <c r="C237" s="40"/>
      <c r="D237" s="40"/>
      <c r="E237" s="23"/>
      <c r="F237" s="21"/>
      <c r="G237" s="21"/>
      <c r="H237" s="21"/>
      <c r="I237" s="21"/>
      <c r="J237" s="21"/>
    </row>
    <row r="238" spans="1:10" ht="15.75">
      <c r="A238" s="209"/>
      <c r="B238" s="40"/>
      <c r="C238" s="40"/>
      <c r="D238" s="40"/>
      <c r="E238" s="23"/>
      <c r="F238" s="21"/>
      <c r="G238" s="21"/>
      <c r="H238" s="21"/>
      <c r="I238" s="21"/>
      <c r="J238" s="21"/>
    </row>
    <row r="239" spans="1:10" ht="15.75">
      <c r="A239" s="209"/>
      <c r="B239" s="40"/>
      <c r="C239" s="40"/>
      <c r="D239" s="40"/>
      <c r="E239" s="23"/>
      <c r="F239" s="21"/>
      <c r="G239" s="21"/>
      <c r="H239" s="21"/>
      <c r="I239" s="21"/>
      <c r="J239" s="21"/>
    </row>
    <row r="240" spans="1:10" ht="15.75">
      <c r="A240" s="209"/>
      <c r="B240" s="40"/>
      <c r="C240" s="40"/>
      <c r="D240" s="40"/>
      <c r="E240" s="23"/>
      <c r="F240" s="21"/>
      <c r="G240" s="21"/>
      <c r="H240" s="21"/>
      <c r="I240" s="21"/>
      <c r="J240" s="21"/>
    </row>
    <row r="241" spans="1:10" ht="15.75">
      <c r="A241" s="209"/>
      <c r="B241" s="40"/>
      <c r="C241" s="40"/>
      <c r="D241" s="40"/>
      <c r="E241" s="23"/>
      <c r="F241" s="21"/>
      <c r="G241" s="21"/>
      <c r="H241" s="21"/>
      <c r="I241" s="21"/>
      <c r="J241" s="21"/>
    </row>
    <row r="242" spans="1:10" ht="15.75">
      <c r="A242" s="209"/>
      <c r="B242" s="40"/>
      <c r="C242" s="40"/>
      <c r="D242" s="40"/>
      <c r="E242" s="23"/>
      <c r="F242" s="21"/>
      <c r="G242" s="21"/>
      <c r="H242" s="21"/>
      <c r="I242" s="21"/>
      <c r="J242" s="21"/>
    </row>
    <row r="243" spans="1:10" ht="15.75">
      <c r="A243" s="209"/>
      <c r="B243" s="40"/>
      <c r="C243" s="40"/>
      <c r="D243" s="40"/>
      <c r="E243" s="23"/>
      <c r="F243" s="21"/>
      <c r="G243" s="21"/>
      <c r="H243" s="21"/>
      <c r="I243" s="21"/>
      <c r="J243" s="21"/>
    </row>
    <row r="244" spans="1:10" ht="15.75">
      <c r="A244" s="209"/>
      <c r="B244" s="40"/>
      <c r="C244" s="40"/>
      <c r="D244" s="40"/>
      <c r="E244" s="23"/>
      <c r="F244" s="21"/>
      <c r="G244" s="21"/>
      <c r="H244" s="21"/>
      <c r="I244" s="21"/>
      <c r="J244" s="21"/>
    </row>
    <row r="245" spans="1:10" ht="15.75">
      <c r="A245" s="209"/>
      <c r="B245" s="40"/>
      <c r="C245" s="40"/>
      <c r="D245" s="40"/>
      <c r="E245" s="23"/>
      <c r="F245" s="21"/>
      <c r="G245" s="21"/>
      <c r="H245" s="21"/>
      <c r="I245" s="21"/>
      <c r="J245" s="21"/>
    </row>
    <row r="246" spans="1:10" ht="12.75">
      <c r="A246" s="199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2.75">
      <c r="A247" s="199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 ht="12.75">
      <c r="A248" s="199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 ht="12.75">
      <c r="A249" s="199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 ht="12.75">
      <c r="A250" s="199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ht="12.75">
      <c r="A251" s="199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ht="12.75">
      <c r="A252" s="199"/>
      <c r="B252" s="21"/>
      <c r="C252" s="21"/>
      <c r="D252" s="21"/>
      <c r="E252" s="21"/>
      <c r="F252" s="21"/>
      <c r="G252" s="21"/>
      <c r="H252" s="21"/>
      <c r="I252" s="21"/>
      <c r="J252" s="21"/>
    </row>
    <row r="253" ht="12.75">
      <c r="A253" s="199"/>
    </row>
    <row r="254" ht="12.75">
      <c r="A254" s="199"/>
    </row>
    <row r="255" ht="12.75">
      <c r="A255" s="199"/>
    </row>
    <row r="256" ht="12.75">
      <c r="A256" s="199"/>
    </row>
    <row r="257" ht="12.75">
      <c r="A257" s="199"/>
    </row>
    <row r="258" ht="12.75">
      <c r="A258" s="199"/>
    </row>
    <row r="259" ht="12.75">
      <c r="A259" s="199"/>
    </row>
    <row r="260" ht="12.75">
      <c r="A260" s="199"/>
    </row>
    <row r="261" ht="12.75">
      <c r="A261" s="199"/>
    </row>
    <row r="262" ht="12.75">
      <c r="A262" s="199"/>
    </row>
    <row r="263" ht="12.75">
      <c r="A263" s="199"/>
    </row>
    <row r="264" ht="12.75">
      <c r="A264" s="199"/>
    </row>
    <row r="265" ht="12.75">
      <c r="A265" s="199"/>
    </row>
    <row r="266" ht="12.75">
      <c r="A266" s="199"/>
    </row>
    <row r="267" ht="12.75">
      <c r="A267" s="199"/>
    </row>
    <row r="268" ht="12.75">
      <c r="A268" s="199"/>
    </row>
    <row r="269" ht="12.75">
      <c r="A269" s="199"/>
    </row>
    <row r="270" ht="12.75">
      <c r="A270" s="199"/>
    </row>
    <row r="271" ht="12.75">
      <c r="A271" s="199"/>
    </row>
    <row r="272" ht="12.75">
      <c r="A272" s="199"/>
    </row>
    <row r="273" ht="12.75">
      <c r="A273" s="199"/>
    </row>
    <row r="274" ht="12.75">
      <c r="A274" s="199"/>
    </row>
    <row r="275" ht="12.75">
      <c r="A275" s="199"/>
    </row>
    <row r="276" ht="12.75">
      <c r="A276" s="199"/>
    </row>
    <row r="277" ht="12.75">
      <c r="A277" s="199"/>
    </row>
    <row r="278" ht="12.75">
      <c r="A278" s="199"/>
    </row>
    <row r="279" ht="12.75">
      <c r="A279" s="199"/>
    </row>
    <row r="280" ht="12.75">
      <c r="A280" s="199"/>
    </row>
    <row r="281" ht="12.75">
      <c r="A281" s="199"/>
    </row>
    <row r="282" ht="12.75">
      <c r="A282" s="199"/>
    </row>
    <row r="283" ht="12.75">
      <c r="A283" s="199"/>
    </row>
    <row r="284" ht="12.75">
      <c r="A284" s="199"/>
    </row>
    <row r="285" ht="12.75">
      <c r="A285" s="199"/>
    </row>
    <row r="286" ht="12.75">
      <c r="A286" s="199"/>
    </row>
    <row r="287" ht="12.75">
      <c r="A287" s="199"/>
    </row>
    <row r="288" ht="12.75">
      <c r="A288" s="199"/>
    </row>
    <row r="289" ht="12.75">
      <c r="A289" s="199"/>
    </row>
    <row r="290" ht="12.75">
      <c r="A290" s="199"/>
    </row>
    <row r="291" ht="12.75">
      <c r="A291" s="199"/>
    </row>
    <row r="292" ht="12.75">
      <c r="A292" s="199"/>
    </row>
    <row r="293" ht="12.75">
      <c r="A293" s="199"/>
    </row>
    <row r="294" ht="12.75">
      <c r="A294" s="199"/>
    </row>
    <row r="295" ht="12.75">
      <c r="A295" s="199"/>
    </row>
    <row r="296" ht="12.75">
      <c r="A296" s="199"/>
    </row>
    <row r="297" ht="12.75">
      <c r="A297" s="199"/>
    </row>
    <row r="298" ht="12.75">
      <c r="A298" s="199"/>
    </row>
    <row r="299" ht="12.75">
      <c r="A299" s="199"/>
    </row>
    <row r="300" ht="12.75">
      <c r="A300" s="199"/>
    </row>
    <row r="301" ht="12.75">
      <c r="A301" s="199"/>
    </row>
    <row r="302" ht="12.75">
      <c r="A302" s="199"/>
    </row>
    <row r="303" ht="12.75">
      <c r="A303" s="199"/>
    </row>
    <row r="304" ht="12.75">
      <c r="A304" s="199"/>
    </row>
    <row r="305" ht="12.75">
      <c r="A305" s="199"/>
    </row>
    <row r="306" ht="12.75">
      <c r="A306" s="199"/>
    </row>
    <row r="307" ht="12.75">
      <c r="A307" s="199"/>
    </row>
    <row r="308" ht="12.75">
      <c r="A308" s="199"/>
    </row>
    <row r="309" ht="12.75">
      <c r="A309" s="199"/>
    </row>
    <row r="310" ht="12.75">
      <c r="A310" s="199"/>
    </row>
    <row r="311" ht="12.75">
      <c r="A311" s="199"/>
    </row>
    <row r="312" ht="12.75">
      <c r="A312" s="199"/>
    </row>
    <row r="313" ht="12.75">
      <c r="A313" s="199"/>
    </row>
    <row r="314" ht="12.75">
      <c r="A314" s="199"/>
    </row>
    <row r="315" ht="12.75">
      <c r="A315" s="199"/>
    </row>
    <row r="316" ht="12.75">
      <c r="A316" s="199"/>
    </row>
    <row r="317" ht="12.75">
      <c r="A317" s="199"/>
    </row>
    <row r="318" ht="12.75">
      <c r="A318" s="199"/>
    </row>
    <row r="319" ht="12.75">
      <c r="A319" s="199"/>
    </row>
    <row r="320" ht="12.75">
      <c r="A320" s="199"/>
    </row>
    <row r="321" ht="12.75">
      <c r="A321" s="199"/>
    </row>
    <row r="322" ht="12.75">
      <c r="A322" s="199"/>
    </row>
    <row r="323" ht="12.75">
      <c r="A323" s="199"/>
    </row>
    <row r="324" ht="12.75">
      <c r="A324" s="199"/>
    </row>
    <row r="325" ht="12.75">
      <c r="A325" s="199"/>
    </row>
    <row r="326" ht="12.75">
      <c r="A326" s="199"/>
    </row>
    <row r="327" ht="12.75">
      <c r="A327" s="199"/>
    </row>
    <row r="328" ht="12.75">
      <c r="A328" s="199"/>
    </row>
    <row r="329" ht="12.75">
      <c r="A329" s="199"/>
    </row>
    <row r="330" ht="12.75">
      <c r="A330" s="199"/>
    </row>
    <row r="331" ht="12.75">
      <c r="A331" s="199"/>
    </row>
    <row r="332" ht="12.75">
      <c r="A332" s="199"/>
    </row>
    <row r="333" ht="12.75">
      <c r="A333" s="199"/>
    </row>
    <row r="334" ht="12.75">
      <c r="A334" s="199"/>
    </row>
    <row r="335" ht="12.75">
      <c r="A335" s="199"/>
    </row>
    <row r="336" ht="12.75">
      <c r="A336" s="199"/>
    </row>
    <row r="337" ht="12.75">
      <c r="A337" s="199"/>
    </row>
    <row r="338" ht="12.75">
      <c r="A338" s="199"/>
    </row>
    <row r="339" ht="12.75">
      <c r="A339" s="199"/>
    </row>
    <row r="340" ht="12.75">
      <c r="A340" s="199"/>
    </row>
    <row r="341" ht="12.75">
      <c r="A341" s="199"/>
    </row>
    <row r="342" ht="12.75">
      <c r="A342" s="199"/>
    </row>
    <row r="343" ht="12.75">
      <c r="A343" s="199"/>
    </row>
    <row r="344" ht="12.75">
      <c r="A344" s="199"/>
    </row>
    <row r="345" ht="12.75">
      <c r="A345" s="199"/>
    </row>
    <row r="346" ht="12.75">
      <c r="A346" s="199"/>
    </row>
    <row r="347" ht="12.75">
      <c r="A347" s="199"/>
    </row>
    <row r="348" ht="12.75">
      <c r="A348" s="199"/>
    </row>
    <row r="349" ht="12.75">
      <c r="A349" s="199"/>
    </row>
    <row r="350" ht="12.75">
      <c r="A350" s="199"/>
    </row>
    <row r="351" ht="12.75">
      <c r="A351" s="199"/>
    </row>
    <row r="352" ht="12.75">
      <c r="A352" s="199"/>
    </row>
    <row r="353" ht="12.75">
      <c r="A353" s="199"/>
    </row>
    <row r="354" ht="12.75">
      <c r="A354" s="199"/>
    </row>
    <row r="355" ht="12.75">
      <c r="A355" s="199"/>
    </row>
    <row r="356" ht="12.75">
      <c r="A356" s="199"/>
    </row>
    <row r="357" ht="12.75">
      <c r="A357" s="199"/>
    </row>
    <row r="358" ht="12.75">
      <c r="A358" s="199"/>
    </row>
    <row r="359" ht="12.75">
      <c r="A359" s="199"/>
    </row>
    <row r="360" ht="12.75">
      <c r="A360" s="199"/>
    </row>
    <row r="361" ht="12.75">
      <c r="A361" s="199"/>
    </row>
    <row r="362" ht="12.75">
      <c r="A362" s="199"/>
    </row>
    <row r="363" ht="12.75">
      <c r="A363" s="199"/>
    </row>
    <row r="364" ht="12.75">
      <c r="A364" s="199"/>
    </row>
    <row r="365" ht="12.75">
      <c r="A365" s="199"/>
    </row>
    <row r="366" ht="12.75">
      <c r="A366" s="199"/>
    </row>
    <row r="367" ht="12.75">
      <c r="A367" s="199"/>
    </row>
    <row r="368" ht="12.75">
      <c r="A368" s="199"/>
    </row>
    <row r="369" ht="12.75">
      <c r="A369" s="199"/>
    </row>
    <row r="370" ht="12.75">
      <c r="A370" s="199"/>
    </row>
    <row r="371" ht="12.75">
      <c r="A371" s="199"/>
    </row>
    <row r="372" ht="12.75">
      <c r="A372" s="199"/>
    </row>
    <row r="373" ht="12.75">
      <c r="A373" s="199"/>
    </row>
    <row r="374" ht="12.75">
      <c r="A374" s="199"/>
    </row>
    <row r="375" ht="12.75">
      <c r="A375" s="199"/>
    </row>
    <row r="376" ht="12.75">
      <c r="A376" s="199"/>
    </row>
    <row r="377" ht="12.75">
      <c r="A377" s="199"/>
    </row>
    <row r="378" ht="12.75">
      <c r="A378" s="199"/>
    </row>
    <row r="379" ht="12.75">
      <c r="A379" s="199"/>
    </row>
    <row r="380" ht="12.75">
      <c r="A380" s="199"/>
    </row>
    <row r="381" ht="12.75">
      <c r="A381" s="199"/>
    </row>
    <row r="382" ht="12.75">
      <c r="A382" s="199"/>
    </row>
    <row r="383" ht="12.75">
      <c r="A383" s="199"/>
    </row>
    <row r="384" ht="12.75">
      <c r="A384" s="199"/>
    </row>
    <row r="385" ht="12.75">
      <c r="A385" s="199"/>
    </row>
    <row r="386" ht="12.75">
      <c r="A386" s="199"/>
    </row>
    <row r="387" ht="12.75">
      <c r="A387" s="199"/>
    </row>
    <row r="388" ht="12.75">
      <c r="A388" s="199"/>
    </row>
    <row r="389" ht="12.75">
      <c r="A389" s="199"/>
    </row>
    <row r="390" ht="12.75">
      <c r="A390" s="199"/>
    </row>
    <row r="391" ht="12.75">
      <c r="A391" s="199"/>
    </row>
    <row r="392" ht="12.75">
      <c r="A392" s="199"/>
    </row>
    <row r="393" ht="12.75">
      <c r="A393" s="199"/>
    </row>
    <row r="394" ht="12.75">
      <c r="A394" s="199"/>
    </row>
    <row r="395" ht="12.75">
      <c r="A395" s="199"/>
    </row>
    <row r="396" ht="12.75">
      <c r="A396" s="199"/>
    </row>
    <row r="397" ht="12.75">
      <c r="A397" s="199"/>
    </row>
    <row r="398" ht="12.75">
      <c r="A398" s="199"/>
    </row>
    <row r="399" ht="12.75">
      <c r="A399" s="199"/>
    </row>
    <row r="400" ht="12.75">
      <c r="A400" s="199"/>
    </row>
    <row r="401" ht="12.75">
      <c r="A401" s="199"/>
    </row>
    <row r="402" ht="12.75">
      <c r="A402" s="199"/>
    </row>
    <row r="403" ht="12.75">
      <c r="A403" s="199"/>
    </row>
    <row r="404" ht="12.75">
      <c r="A404" s="199"/>
    </row>
    <row r="405" ht="12.75">
      <c r="A405" s="199"/>
    </row>
    <row r="406" ht="12.75">
      <c r="A406" s="199"/>
    </row>
    <row r="407" ht="12.75">
      <c r="A407" s="199"/>
    </row>
    <row r="408" ht="12.75">
      <c r="A408" s="199"/>
    </row>
    <row r="409" ht="12.75">
      <c r="A409" s="199"/>
    </row>
    <row r="410" ht="12.75">
      <c r="A410" s="199"/>
    </row>
    <row r="411" ht="12.75">
      <c r="A411" s="199"/>
    </row>
    <row r="412" ht="12.75">
      <c r="A412" s="199"/>
    </row>
    <row r="413" ht="12.75">
      <c r="A413" s="199"/>
    </row>
    <row r="414" ht="12.75">
      <c r="A414" s="199"/>
    </row>
    <row r="415" ht="12.75">
      <c r="A415" s="199"/>
    </row>
    <row r="416" ht="12.75">
      <c r="A416" s="199"/>
    </row>
    <row r="417" ht="12.75">
      <c r="A417" s="199"/>
    </row>
    <row r="418" ht="12.75">
      <c r="A418" s="199"/>
    </row>
    <row r="419" ht="12.75">
      <c r="A419" s="199"/>
    </row>
    <row r="420" ht="12.75">
      <c r="A420" s="199"/>
    </row>
    <row r="421" ht="12.75">
      <c r="A421" s="199"/>
    </row>
    <row r="422" ht="12.75">
      <c r="A422" s="199"/>
    </row>
    <row r="423" ht="12.75">
      <c r="A423" s="199"/>
    </row>
    <row r="424" ht="12.75">
      <c r="A424" s="199"/>
    </row>
    <row r="425" ht="12.75">
      <c r="A425" s="199"/>
    </row>
    <row r="426" ht="12.75">
      <c r="A426" s="199"/>
    </row>
    <row r="427" ht="12.75">
      <c r="A427" s="199"/>
    </row>
    <row r="428" ht="12.75">
      <c r="A428" s="199"/>
    </row>
    <row r="429" ht="12.75">
      <c r="A429" s="199"/>
    </row>
    <row r="430" ht="12.75">
      <c r="A430" s="199"/>
    </row>
    <row r="431" ht="12.75">
      <c r="A431" s="199"/>
    </row>
    <row r="432" ht="12.75">
      <c r="A432" s="199"/>
    </row>
    <row r="433" ht="12.75">
      <c r="A433" s="199"/>
    </row>
    <row r="434" ht="12.75">
      <c r="A434" s="199"/>
    </row>
    <row r="435" ht="12.75">
      <c r="A435" s="199"/>
    </row>
    <row r="436" ht="12.75">
      <c r="A436" s="199"/>
    </row>
    <row r="437" ht="12.75">
      <c r="A437" s="199"/>
    </row>
    <row r="438" ht="12.75">
      <c r="A438" s="199"/>
    </row>
    <row r="439" ht="12.75">
      <c r="A439" s="199"/>
    </row>
    <row r="440" ht="12.75">
      <c r="A440" s="199"/>
    </row>
    <row r="441" ht="12.75">
      <c r="A441" s="199"/>
    </row>
    <row r="442" ht="12.75">
      <c r="A442" s="210"/>
    </row>
  </sheetData>
  <printOptions/>
  <pageMargins left="0.037401575" right="0.037401575" top="0.34" bottom="1" header="5.9" footer="0.511811024"/>
  <pageSetup horizontalDpi="200" verticalDpi="200" orientation="landscape" paperSize="5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0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08" sqref="C108"/>
    </sheetView>
  </sheetViews>
  <sheetFormatPr defaultColWidth="11.421875" defaultRowHeight="12.75"/>
  <cols>
    <col min="1" max="1" width="53.00390625" style="0" customWidth="1"/>
    <col min="2" max="2" width="5.28125" style="0" customWidth="1"/>
    <col min="3" max="4" width="8.140625" style="0" customWidth="1"/>
    <col min="5" max="5" width="10.28125" style="0" customWidth="1"/>
    <col min="6" max="6" width="9.7109375" style="0" customWidth="1"/>
    <col min="7" max="7" width="10.28125" style="0" customWidth="1"/>
    <col min="8" max="8" width="9.7109375" style="0" customWidth="1"/>
    <col min="9" max="9" width="10.421875" style="0" customWidth="1"/>
    <col min="10" max="10" width="73.7109375" style="0" bestFit="1" customWidth="1"/>
    <col min="12" max="12" width="53.7109375" style="0" customWidth="1"/>
    <col min="13" max="13" width="1.57421875" style="0" hidden="1" customWidth="1"/>
    <col min="14" max="14" width="7.28125" style="0" hidden="1" customWidth="1"/>
    <col min="15" max="21" width="11.57421875" style="0" hidden="1" customWidth="1"/>
  </cols>
  <sheetData>
    <row r="1" spans="1:10" ht="17.25" thickBot="1" thickTop="1">
      <c r="A1" s="275" t="s">
        <v>15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s="1" customFormat="1" ht="16.5" thickTop="1">
      <c r="A3" s="171">
        <v>15.1</v>
      </c>
      <c r="B3" s="125"/>
      <c r="C3" s="125"/>
      <c r="D3" s="126"/>
      <c r="E3" s="126"/>
      <c r="F3" s="126"/>
      <c r="G3" s="125"/>
      <c r="H3" s="126"/>
      <c r="I3" s="125"/>
      <c r="J3" s="214" t="s">
        <v>16</v>
      </c>
    </row>
    <row r="4" spans="1:10" s="1" customFormat="1" ht="15.75">
      <c r="A4" s="179" t="s">
        <v>17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s="1" customFormat="1" ht="15.75">
      <c r="A5" s="179" t="s">
        <v>18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s="1" customFormat="1" ht="15.75">
      <c r="A6" s="173" t="s">
        <v>19</v>
      </c>
      <c r="B6" s="24"/>
      <c r="C6" s="24" t="s">
        <v>287</v>
      </c>
      <c r="D6" s="24" t="s">
        <v>355</v>
      </c>
      <c r="E6" s="3">
        <v>2.05</v>
      </c>
      <c r="F6" s="14">
        <f>IF(D6="ag-01",0.12,IF(D6="ag-02",0.09,IF(D6="ar-03",12.03,IF(D6="ar-08",16,IF(D6="op-02",4.31,IF(D6="op-01",6.89))))))</f>
        <v>0.12</v>
      </c>
      <c r="G6" s="25">
        <f>E6*F6</f>
        <v>0.24599999999999997</v>
      </c>
      <c r="I6" s="95">
        <f>SUM(G6:H9)</f>
        <v>0.8696499999999999</v>
      </c>
      <c r="J6" s="5"/>
    </row>
    <row r="7" spans="1:10" s="1" customFormat="1" ht="15.75">
      <c r="A7" s="174" t="s">
        <v>559</v>
      </c>
      <c r="B7" s="24"/>
      <c r="C7" s="24" t="s">
        <v>357</v>
      </c>
      <c r="D7" s="24" t="s">
        <v>560</v>
      </c>
      <c r="E7" s="3">
        <v>0.005</v>
      </c>
      <c r="F7" s="14">
        <f>IF(D7="ag-01",0.12,IF(D7="ag-02",0.09,IF(D7="ar-03",12.03,IF(D7="ar-08",16,IF(D7="op-02",4.31,IF(D7="op-01",6.89))))))</f>
        <v>12.03</v>
      </c>
      <c r="G7" s="25">
        <f>E7*F7</f>
        <v>0.060149999999999995</v>
      </c>
      <c r="I7" s="95"/>
      <c r="J7" s="5"/>
    </row>
    <row r="8" spans="1:10" s="1" customFormat="1" ht="15.75">
      <c r="A8" s="174" t="s">
        <v>289</v>
      </c>
      <c r="B8" s="24"/>
      <c r="C8" s="24" t="s">
        <v>228</v>
      </c>
      <c r="D8" s="24" t="s">
        <v>290</v>
      </c>
      <c r="E8" s="3">
        <v>0.05</v>
      </c>
      <c r="F8" s="14">
        <f>+C106</f>
        <v>6.89</v>
      </c>
      <c r="H8" s="25">
        <f>E8*F8</f>
        <v>0.34450000000000003</v>
      </c>
      <c r="I8" s="95"/>
      <c r="J8" s="5"/>
    </row>
    <row r="9" spans="1:10" s="1" customFormat="1" ht="15.75">
      <c r="A9" s="174" t="s">
        <v>227</v>
      </c>
      <c r="B9" s="24"/>
      <c r="C9" s="24" t="s">
        <v>228</v>
      </c>
      <c r="D9" s="24" t="s">
        <v>229</v>
      </c>
      <c r="E9" s="3">
        <v>0.05</v>
      </c>
      <c r="F9" s="14">
        <f>+C107</f>
        <v>4.38</v>
      </c>
      <c r="H9" s="25">
        <f>E9*F9</f>
        <v>0.219</v>
      </c>
      <c r="I9" s="95"/>
      <c r="J9" s="5"/>
    </row>
    <row r="10" spans="1:10" ht="16.5" thickBot="1">
      <c r="A10" s="90"/>
      <c r="B10" s="72"/>
      <c r="C10" s="28"/>
      <c r="D10" s="28"/>
      <c r="E10" s="8"/>
      <c r="F10" s="73"/>
      <c r="G10" s="252">
        <f>SUM(G6:G7)</f>
        <v>0.30615</v>
      </c>
      <c r="H10" s="67">
        <f>SUM(H8:H9)</f>
        <v>0.5635</v>
      </c>
      <c r="I10" s="88"/>
      <c r="J10" s="11"/>
    </row>
    <row r="11" spans="1:10" ht="16.5" thickTop="1">
      <c r="A11" s="168">
        <v>15.2</v>
      </c>
      <c r="B11" s="113"/>
      <c r="C11" s="69"/>
      <c r="D11" s="69"/>
      <c r="E11" s="70"/>
      <c r="F11" s="139"/>
      <c r="G11" s="115"/>
      <c r="H11" s="115"/>
      <c r="I11" s="89"/>
      <c r="J11" s="71"/>
    </row>
    <row r="12" spans="1:10" s="1" customFormat="1" ht="15.75">
      <c r="A12" s="173" t="s">
        <v>20</v>
      </c>
      <c r="B12" s="24"/>
      <c r="C12" s="24"/>
      <c r="D12" s="24"/>
      <c r="E12" s="3"/>
      <c r="F12" s="14"/>
      <c r="G12" s="85"/>
      <c r="H12" s="85"/>
      <c r="I12" s="95"/>
      <c r="J12" s="5"/>
    </row>
    <row r="13" spans="1:10" s="1" customFormat="1" ht="15.75">
      <c r="A13" s="173" t="s">
        <v>21</v>
      </c>
      <c r="B13" s="24"/>
      <c r="C13" s="24" t="s">
        <v>287</v>
      </c>
      <c r="D13" s="24" t="s">
        <v>355</v>
      </c>
      <c r="E13" s="3">
        <v>1.39</v>
      </c>
      <c r="F13" s="14">
        <f>IF(D13="ag-01",0.12,IF(D13="ag-02",0.09,IF(D13="ar-03",12.03,IF(D13="ar-08",16,IF(D13="op-02",4.31,IF(D13="op-01",6.89))))))</f>
        <v>0.12</v>
      </c>
      <c r="G13" s="25">
        <f>E13*F13</f>
        <v>0.16679999999999998</v>
      </c>
      <c r="I13" s="95">
        <f>SUM(G13:H17)</f>
        <v>6.70654</v>
      </c>
      <c r="J13" s="5"/>
    </row>
    <row r="14" spans="1:10" s="1" customFormat="1" ht="15.75">
      <c r="A14" s="174" t="s">
        <v>557</v>
      </c>
      <c r="B14" s="24"/>
      <c r="C14" s="24" t="s">
        <v>287</v>
      </c>
      <c r="D14" s="24" t="s">
        <v>377</v>
      </c>
      <c r="E14" s="3">
        <v>6.31</v>
      </c>
      <c r="F14" s="14">
        <f>IF(D14="ag-01",0.12,IF(D14="ag-02",0.09,IF(D14="ar-03",12.03,IF(D14="ar-08",16,IF(D14="op-02",4.31,IF(D14="op-01",6.89))))))</f>
        <v>0.09</v>
      </c>
      <c r="G14" s="25">
        <f>E14*F14</f>
        <v>0.5679</v>
      </c>
      <c r="I14" s="95"/>
      <c r="J14" s="5"/>
    </row>
    <row r="15" spans="1:10" s="1" customFormat="1" ht="15.75">
      <c r="A15" s="174" t="s">
        <v>559</v>
      </c>
      <c r="B15" s="24"/>
      <c r="C15" s="24" t="s">
        <v>357</v>
      </c>
      <c r="D15" s="24" t="s">
        <v>560</v>
      </c>
      <c r="E15" s="3">
        <v>0.028</v>
      </c>
      <c r="F15" s="14">
        <f>IF(D15="ag-01",0.12,IF(D15="ag-02",0.09,IF(D15="ar-03",12.03,IF(D15="ar-08",16,IF(D15="op-02",4.31,IF(D15="op-01",6.89))))))</f>
        <v>12.03</v>
      </c>
      <c r="G15" s="25">
        <f>E15*F15</f>
        <v>0.33684</v>
      </c>
      <c r="I15" s="95"/>
      <c r="J15" s="5"/>
    </row>
    <row r="16" spans="1:10" s="1" customFormat="1" ht="15.75">
      <c r="A16" s="174" t="s">
        <v>289</v>
      </c>
      <c r="B16" s="24"/>
      <c r="C16" s="24" t="s">
        <v>228</v>
      </c>
      <c r="D16" s="24" t="s">
        <v>290</v>
      </c>
      <c r="E16" s="3">
        <v>0.5</v>
      </c>
      <c r="F16" s="14">
        <f>+C106</f>
        <v>6.89</v>
      </c>
      <c r="H16" s="25">
        <f>E16*F16</f>
        <v>3.445</v>
      </c>
      <c r="I16" s="95"/>
      <c r="J16" s="5"/>
    </row>
    <row r="17" spans="1:10" s="1" customFormat="1" ht="15.75">
      <c r="A17" s="174" t="s">
        <v>227</v>
      </c>
      <c r="B17" s="24"/>
      <c r="C17" s="24" t="s">
        <v>228</v>
      </c>
      <c r="D17" s="24" t="s">
        <v>229</v>
      </c>
      <c r="E17" s="3">
        <v>0.5</v>
      </c>
      <c r="F17" s="14">
        <f>+C107</f>
        <v>4.38</v>
      </c>
      <c r="H17" s="25">
        <f>E17*F17</f>
        <v>2.19</v>
      </c>
      <c r="I17" s="95"/>
      <c r="J17" s="5"/>
    </row>
    <row r="18" spans="1:10" ht="16.5" thickBot="1">
      <c r="A18" s="90"/>
      <c r="B18" s="72"/>
      <c r="C18" s="28"/>
      <c r="D18" s="28"/>
      <c r="E18" s="8"/>
      <c r="F18" s="73"/>
      <c r="G18" s="252">
        <f>SUM(G13:G15)</f>
        <v>1.07154</v>
      </c>
      <c r="H18" s="67">
        <f>SUM(H16:H17)</f>
        <v>5.635</v>
      </c>
      <c r="I18" s="88"/>
      <c r="J18" s="11"/>
    </row>
    <row r="19" spans="1:10" ht="16.5" thickTop="1">
      <c r="A19" s="168">
        <v>15.3</v>
      </c>
      <c r="B19" s="113"/>
      <c r="C19" s="69"/>
      <c r="D19" s="69"/>
      <c r="E19" s="70"/>
      <c r="F19" s="139"/>
      <c r="G19" s="115"/>
      <c r="H19" s="115"/>
      <c r="I19" s="89"/>
      <c r="J19" s="71"/>
    </row>
    <row r="20" spans="1:10" s="1" customFormat="1" ht="15.75">
      <c r="A20" s="173" t="s">
        <v>22</v>
      </c>
      <c r="B20" s="24"/>
      <c r="C20" s="24"/>
      <c r="D20" s="24"/>
      <c r="E20" s="3"/>
      <c r="F20" s="14"/>
      <c r="G20" s="85"/>
      <c r="H20" s="85"/>
      <c r="I20" s="95"/>
      <c r="J20" s="5"/>
    </row>
    <row r="21" spans="1:10" s="1" customFormat="1" ht="15.75">
      <c r="A21" s="172" t="s">
        <v>23</v>
      </c>
      <c r="B21" s="24"/>
      <c r="C21" s="24" t="s">
        <v>287</v>
      </c>
      <c r="D21" s="24" t="s">
        <v>355</v>
      </c>
      <c r="E21" s="3">
        <v>2.61</v>
      </c>
      <c r="F21" s="14">
        <f>IF(D21="ag-01",0.12,IF(D21="ag-02",0.09,IF(D21="ar-03",12.03,IF(D21="ar-08",16,IF(D21="op-02",4.31,IF(D21="op-01",6.89))))))</f>
        <v>0.12</v>
      </c>
      <c r="G21" s="25">
        <f>E21*F21</f>
        <v>0.3132</v>
      </c>
      <c r="I21" s="95">
        <f>SUM(G21:H25)</f>
        <v>6.791079999999999</v>
      </c>
      <c r="J21" s="5"/>
    </row>
    <row r="22" spans="1:10" s="1" customFormat="1" ht="15.75">
      <c r="A22" s="174" t="s">
        <v>557</v>
      </c>
      <c r="B22" s="24"/>
      <c r="C22" s="24" t="s">
        <v>287</v>
      </c>
      <c r="D22" s="24" t="s">
        <v>377</v>
      </c>
      <c r="E22" s="3">
        <v>5.89</v>
      </c>
      <c r="F22" s="14">
        <f>IF(D22="ag-01",0.12,IF(D22="ag-02",0.09,IF(D22="ar-03",12.03,IF(D22="ar-08",16,IF(D22="op-02",4.31,IF(D22="op-01",6.89))))))</f>
        <v>0.09</v>
      </c>
      <c r="G22" s="25">
        <f>E22*F22</f>
        <v>0.5300999999999999</v>
      </c>
      <c r="I22" s="95"/>
      <c r="J22" s="5"/>
    </row>
    <row r="23" spans="1:10" s="1" customFormat="1" ht="15.75">
      <c r="A23" s="174" t="s">
        <v>559</v>
      </c>
      <c r="B23" s="24"/>
      <c r="C23" s="24" t="s">
        <v>357</v>
      </c>
      <c r="D23" s="24" t="s">
        <v>560</v>
      </c>
      <c r="E23" s="3">
        <v>0.026</v>
      </c>
      <c r="F23" s="14">
        <f>IF(D23="ag-01",0.12,IF(D23="ag-02",0.09,IF(D23="ar-03",12.03,IF(D23="ar-08",16,IF(D23="op-02",4.31,IF(D23="op-01",6.89))))))</f>
        <v>12.03</v>
      </c>
      <c r="G23" s="25">
        <f>E23*F23</f>
        <v>0.31277999999999995</v>
      </c>
      <c r="I23" s="95"/>
      <c r="J23" s="5"/>
    </row>
    <row r="24" spans="1:10" s="1" customFormat="1" ht="15.75">
      <c r="A24" s="174" t="s">
        <v>289</v>
      </c>
      <c r="B24" s="24"/>
      <c r="C24" s="24" t="s">
        <v>228</v>
      </c>
      <c r="D24" s="24" t="s">
        <v>290</v>
      </c>
      <c r="E24" s="3">
        <v>0.5</v>
      </c>
      <c r="F24" s="14">
        <f>+C106</f>
        <v>6.89</v>
      </c>
      <c r="H24" s="25">
        <f>E24*F24</f>
        <v>3.445</v>
      </c>
      <c r="I24" s="95"/>
      <c r="J24" s="5"/>
    </row>
    <row r="25" spans="1:10" s="1" customFormat="1" ht="15.75">
      <c r="A25" s="174" t="s">
        <v>227</v>
      </c>
      <c r="B25" s="24"/>
      <c r="C25" s="24" t="s">
        <v>228</v>
      </c>
      <c r="D25" s="24" t="s">
        <v>229</v>
      </c>
      <c r="E25" s="3">
        <v>0.5</v>
      </c>
      <c r="F25" s="14">
        <f>+C107</f>
        <v>4.38</v>
      </c>
      <c r="H25" s="25">
        <f>E25*F25</f>
        <v>2.19</v>
      </c>
      <c r="I25" s="95"/>
      <c r="J25" s="5"/>
    </row>
    <row r="26" spans="1:10" ht="16.5" thickBot="1">
      <c r="A26" s="90"/>
      <c r="B26" s="72"/>
      <c r="C26" s="28"/>
      <c r="D26" s="28"/>
      <c r="E26" s="8"/>
      <c r="F26" s="73"/>
      <c r="G26" s="252">
        <f>SUM(G21:G23)</f>
        <v>1.1560799999999998</v>
      </c>
      <c r="H26" s="67">
        <f>SUM(H24:H25)</f>
        <v>5.635</v>
      </c>
      <c r="I26" s="88"/>
      <c r="J26" s="11"/>
    </row>
    <row r="27" spans="1:10" ht="16.5" thickTop="1">
      <c r="A27" s="168">
        <v>15.4</v>
      </c>
      <c r="B27" s="113"/>
      <c r="C27" s="69"/>
      <c r="D27" s="69"/>
      <c r="E27" s="70"/>
      <c r="F27" s="139"/>
      <c r="G27" s="115"/>
      <c r="H27" s="115"/>
      <c r="I27" s="89"/>
      <c r="J27" s="71"/>
    </row>
    <row r="28" spans="1:10" s="1" customFormat="1" ht="15.75">
      <c r="A28" s="173" t="s">
        <v>24</v>
      </c>
      <c r="B28" s="24"/>
      <c r="C28" s="24"/>
      <c r="D28" s="24"/>
      <c r="E28" s="3"/>
      <c r="F28" s="14"/>
      <c r="G28" s="85"/>
      <c r="H28" s="85"/>
      <c r="I28" s="95"/>
      <c r="J28" s="5"/>
    </row>
    <row r="29" spans="1:10" s="1" customFormat="1" ht="15.75">
      <c r="A29" s="173" t="s">
        <v>25</v>
      </c>
      <c r="B29" s="24"/>
      <c r="C29" s="24"/>
      <c r="D29" s="24"/>
      <c r="E29" s="3"/>
      <c r="F29" s="14"/>
      <c r="G29" s="85"/>
      <c r="H29" s="85"/>
      <c r="I29" s="95"/>
      <c r="J29" s="5"/>
    </row>
    <row r="30" spans="1:10" s="1" customFormat="1" ht="15.75">
      <c r="A30" s="174" t="s">
        <v>624</v>
      </c>
      <c r="B30" s="24"/>
      <c r="C30" s="24" t="s">
        <v>287</v>
      </c>
      <c r="D30" s="24" t="s">
        <v>355</v>
      </c>
      <c r="E30" s="3">
        <v>6.82</v>
      </c>
      <c r="F30" s="14">
        <f>IF(D30="ag-01",0.12,IF(D30="ag-02",0.09,IF(D30="ar-03",12.03,IF(D30="ar-08",16,IF(D30="op-02",4.31,IF(D30="op-01",6.89))))))</f>
        <v>0.12</v>
      </c>
      <c r="G30" s="25">
        <f>E30*F30</f>
        <v>0.8184</v>
      </c>
      <c r="I30" s="95">
        <f>SUM(G30:H34)</f>
        <v>7.6615400000000005</v>
      </c>
      <c r="J30" s="5"/>
    </row>
    <row r="31" spans="1:10" s="1" customFormat="1" ht="15.75">
      <c r="A31" s="174" t="s">
        <v>557</v>
      </c>
      <c r="B31" s="24"/>
      <c r="C31" s="24" t="s">
        <v>287</v>
      </c>
      <c r="D31" s="24" t="s">
        <v>377</v>
      </c>
      <c r="E31" s="3">
        <v>3.42</v>
      </c>
      <c r="F31" s="14">
        <f>IF(D31="ag-01",0.12,IF(D31="ag-02",0.09,IF(D31="ar-03",12.03,IF(D31="ar-08",16,IF(D31="op-02",4.31,IF(D31="op-01",6.89))))))</f>
        <v>0.09</v>
      </c>
      <c r="G31" s="25">
        <f>E31*F31</f>
        <v>0.30779999999999996</v>
      </c>
      <c r="I31" s="95"/>
      <c r="J31" s="5"/>
    </row>
    <row r="32" spans="1:10" s="1" customFormat="1" ht="15.75">
      <c r="A32" s="174" t="s">
        <v>559</v>
      </c>
      <c r="B32" s="24"/>
      <c r="C32" s="24" t="s">
        <v>357</v>
      </c>
      <c r="D32" s="24" t="s">
        <v>560</v>
      </c>
      <c r="E32" s="3">
        <v>0.028</v>
      </c>
      <c r="F32" s="14">
        <f>IF(D32="ag-01",0.12,IF(D32="ag-02",0.09,IF(D32="ar-03",12.03,IF(D32="ar-08",16,IF(D32="op-02",4.31,IF(D32="op-01",6.89))))))</f>
        <v>12.03</v>
      </c>
      <c r="G32" s="25">
        <f>E32*F32</f>
        <v>0.33684</v>
      </c>
      <c r="I32" s="95"/>
      <c r="J32" s="5"/>
    </row>
    <row r="33" spans="1:10" s="1" customFormat="1" ht="15.75">
      <c r="A33" s="174" t="s">
        <v>289</v>
      </c>
      <c r="B33" s="24"/>
      <c r="C33" s="24" t="s">
        <v>228</v>
      </c>
      <c r="D33" s="24" t="s">
        <v>290</v>
      </c>
      <c r="E33" s="3">
        <v>0.55</v>
      </c>
      <c r="F33" s="14">
        <f>+C106</f>
        <v>6.89</v>
      </c>
      <c r="H33" s="25">
        <f>E33*F33</f>
        <v>3.7895000000000003</v>
      </c>
      <c r="I33" s="95"/>
      <c r="J33" s="5"/>
    </row>
    <row r="34" spans="1:10" s="1" customFormat="1" ht="15.75">
      <c r="A34" s="174" t="s">
        <v>227</v>
      </c>
      <c r="B34" s="24"/>
      <c r="C34" s="24" t="s">
        <v>228</v>
      </c>
      <c r="D34" s="24" t="s">
        <v>229</v>
      </c>
      <c r="E34" s="3">
        <v>0.55</v>
      </c>
      <c r="F34" s="14">
        <f>+C107</f>
        <v>4.38</v>
      </c>
      <c r="H34" s="25">
        <f>E34*F34</f>
        <v>2.4090000000000003</v>
      </c>
      <c r="I34" s="95"/>
      <c r="J34" s="5"/>
    </row>
    <row r="35" spans="1:10" ht="16.5" thickBot="1">
      <c r="A35" s="90"/>
      <c r="B35" s="72"/>
      <c r="C35" s="28"/>
      <c r="D35" s="28"/>
      <c r="E35" s="8"/>
      <c r="F35" s="73"/>
      <c r="G35" s="252">
        <f>SUM(G30:G32)</f>
        <v>1.46304</v>
      </c>
      <c r="H35" s="67">
        <f>SUM(H33:H34)</f>
        <v>6.198500000000001</v>
      </c>
      <c r="I35" s="88"/>
      <c r="J35" s="11"/>
    </row>
    <row r="36" spans="1:10" ht="16.5" thickTop="1">
      <c r="A36" s="168">
        <v>15.5</v>
      </c>
      <c r="B36" s="113"/>
      <c r="C36" s="69"/>
      <c r="D36" s="69"/>
      <c r="E36" s="70"/>
      <c r="F36" s="139"/>
      <c r="G36" s="115"/>
      <c r="H36" s="115"/>
      <c r="I36" s="89"/>
      <c r="J36" s="71"/>
    </row>
    <row r="37" spans="1:10" s="1" customFormat="1" ht="15.75">
      <c r="A37" s="173" t="s">
        <v>26</v>
      </c>
      <c r="B37" s="24"/>
      <c r="C37" s="24"/>
      <c r="D37" s="24"/>
      <c r="E37" s="3"/>
      <c r="F37" s="14"/>
      <c r="G37" s="85"/>
      <c r="H37" s="85"/>
      <c r="I37" s="95"/>
      <c r="J37" s="5"/>
    </row>
    <row r="38" spans="1:10" s="1" customFormat="1" ht="15.75">
      <c r="A38" s="173" t="s">
        <v>27</v>
      </c>
      <c r="B38" s="24"/>
      <c r="C38" s="24"/>
      <c r="D38" s="24"/>
      <c r="E38" s="3"/>
      <c r="F38" s="14"/>
      <c r="G38" s="85"/>
      <c r="H38" s="85"/>
      <c r="I38" s="95"/>
      <c r="J38" s="5"/>
    </row>
    <row r="39" spans="1:10" s="1" customFormat="1" ht="15.75">
      <c r="A39" s="174" t="s">
        <v>1016</v>
      </c>
      <c r="B39" s="24"/>
      <c r="C39" s="24" t="s">
        <v>287</v>
      </c>
      <c r="D39" s="24" t="s">
        <v>1017</v>
      </c>
      <c r="E39" s="3">
        <v>3.3</v>
      </c>
      <c r="F39" s="14">
        <f>IF(D39="ag-01",0.12,IF(D39="ag-02",0.09,IF(D39="ar-03",12.03,IF(D39="ar-08",16,IF(D39="op-02",4.31,IF(D39="op-01",6.89,IF(D39="pd-01",0.23,IF(D39="pd-02",0.5))))))))</f>
        <v>0.23</v>
      </c>
      <c r="G39" s="25">
        <f>E39*F39</f>
        <v>0.759</v>
      </c>
      <c r="I39" s="95">
        <f>SUM(G39:H41)</f>
        <v>4.391</v>
      </c>
      <c r="J39" s="5"/>
    </row>
    <row r="40" spans="1:10" s="1" customFormat="1" ht="15.75">
      <c r="A40" s="174" t="s">
        <v>289</v>
      </c>
      <c r="B40" s="24"/>
      <c r="C40" s="24" t="s">
        <v>228</v>
      </c>
      <c r="D40" s="24" t="s">
        <v>290</v>
      </c>
      <c r="E40" s="3">
        <v>0.4</v>
      </c>
      <c r="F40" s="14">
        <f>+C106</f>
        <v>6.89</v>
      </c>
      <c r="G40" s="25"/>
      <c r="H40" s="25">
        <f>E40*F40</f>
        <v>2.7560000000000002</v>
      </c>
      <c r="I40" s="95"/>
      <c r="J40" s="5"/>
    </row>
    <row r="41" spans="1:10" s="1" customFormat="1" ht="15.75">
      <c r="A41" s="174" t="s">
        <v>227</v>
      </c>
      <c r="B41" s="24"/>
      <c r="C41" s="24" t="s">
        <v>228</v>
      </c>
      <c r="D41" s="24" t="s">
        <v>229</v>
      </c>
      <c r="E41" s="3">
        <v>0.2</v>
      </c>
      <c r="F41" s="14">
        <f>+C107</f>
        <v>4.38</v>
      </c>
      <c r="H41" s="25">
        <f>E41*F41</f>
        <v>0.876</v>
      </c>
      <c r="I41" s="95"/>
      <c r="J41" s="5"/>
    </row>
    <row r="42" spans="1:10" ht="16.5" thickBot="1">
      <c r="A42" s="90"/>
      <c r="B42" s="72"/>
      <c r="C42" s="28"/>
      <c r="D42" s="28"/>
      <c r="E42" s="8"/>
      <c r="F42" s="73"/>
      <c r="G42" s="252">
        <f>E39*F39</f>
        <v>0.759</v>
      </c>
      <c r="H42" s="252">
        <f>SUM(H40:H41)</f>
        <v>3.632</v>
      </c>
      <c r="I42" s="88"/>
      <c r="J42" s="11"/>
    </row>
    <row r="43" spans="1:10" ht="16.5" thickTop="1">
      <c r="A43" s="168">
        <v>15.6</v>
      </c>
      <c r="B43" s="113"/>
      <c r="C43" s="69"/>
      <c r="D43" s="69"/>
      <c r="E43" s="70"/>
      <c r="F43" s="139"/>
      <c r="G43" s="115"/>
      <c r="H43" s="115"/>
      <c r="I43" s="89"/>
      <c r="J43" s="71"/>
    </row>
    <row r="44" spans="1:10" s="1" customFormat="1" ht="15.75">
      <c r="A44" s="173" t="s">
        <v>28</v>
      </c>
      <c r="B44" s="24"/>
      <c r="C44" s="24"/>
      <c r="D44" s="24"/>
      <c r="E44" s="3"/>
      <c r="F44" s="14"/>
      <c r="G44" s="85"/>
      <c r="H44" s="85"/>
      <c r="I44" s="95"/>
      <c r="J44" s="5"/>
    </row>
    <row r="45" spans="1:10" s="1" customFormat="1" ht="15.75">
      <c r="A45" s="173" t="s">
        <v>29</v>
      </c>
      <c r="B45" s="24"/>
      <c r="C45" s="24"/>
      <c r="D45" s="24"/>
      <c r="E45" s="3"/>
      <c r="F45" s="14"/>
      <c r="G45" s="85"/>
      <c r="H45" s="85"/>
      <c r="I45" s="95"/>
      <c r="J45" s="5"/>
    </row>
    <row r="46" spans="1:10" s="1" customFormat="1" ht="15.75">
      <c r="A46" s="174" t="s">
        <v>1016</v>
      </c>
      <c r="B46" s="24"/>
      <c r="C46" s="24" t="s">
        <v>287</v>
      </c>
      <c r="D46" s="24" t="s">
        <v>1017</v>
      </c>
      <c r="E46" s="3">
        <v>3.3</v>
      </c>
      <c r="F46" s="14">
        <f>IF(D46="ag-01",0.12,IF(D46="ag-02",0.09,IF(D46="ar-03",12.03,IF(D46="ar-08",16,IF(D46="op-02",4.31,IF(D46="op-01",6.89,IF(D46="pd-01",0.23,IF(D46="pd-02",0.5))))))))</f>
        <v>0.23</v>
      </c>
      <c r="G46" s="25">
        <f>E46*F46</f>
        <v>0.759</v>
      </c>
      <c r="I46" s="95">
        <f>SUM(G46:H48)</f>
        <v>4.8732999999999995</v>
      </c>
      <c r="J46" s="5"/>
    </row>
    <row r="47" spans="1:10" s="1" customFormat="1" ht="15.75">
      <c r="A47" s="174" t="s">
        <v>289</v>
      </c>
      <c r="B47" s="24"/>
      <c r="C47" s="24" t="s">
        <v>228</v>
      </c>
      <c r="D47" s="24" t="s">
        <v>290</v>
      </c>
      <c r="E47" s="3">
        <v>0.47</v>
      </c>
      <c r="F47" s="14">
        <f>+C106</f>
        <v>6.89</v>
      </c>
      <c r="H47" s="25">
        <f>E47*F47</f>
        <v>3.2382999999999997</v>
      </c>
      <c r="I47" s="95"/>
      <c r="J47" s="5"/>
    </row>
    <row r="48" spans="1:10" s="1" customFormat="1" ht="15.75">
      <c r="A48" s="174" t="s">
        <v>227</v>
      </c>
      <c r="B48" s="24"/>
      <c r="C48" s="24" t="s">
        <v>228</v>
      </c>
      <c r="D48" s="24" t="s">
        <v>229</v>
      </c>
      <c r="E48" s="3">
        <v>0.2</v>
      </c>
      <c r="F48" s="14">
        <f>+C107</f>
        <v>4.38</v>
      </c>
      <c r="H48" s="25">
        <f>E48*F48</f>
        <v>0.876</v>
      </c>
      <c r="I48" s="95"/>
      <c r="J48" s="5"/>
    </row>
    <row r="49" spans="1:10" ht="16.5" thickBot="1">
      <c r="A49" s="90"/>
      <c r="B49" s="72"/>
      <c r="C49" s="28"/>
      <c r="D49" s="28"/>
      <c r="E49" s="8"/>
      <c r="F49" s="73"/>
      <c r="G49" s="252">
        <f>E46*F46</f>
        <v>0.759</v>
      </c>
      <c r="H49" s="67">
        <f>SUM(H47:H48)</f>
        <v>4.1143</v>
      </c>
      <c r="I49" s="88"/>
      <c r="J49" s="11"/>
    </row>
    <row r="50" spans="1:10" ht="16.5" thickTop="1">
      <c r="A50" s="168">
        <v>15.7</v>
      </c>
      <c r="B50" s="113"/>
      <c r="C50" s="69"/>
      <c r="D50" s="69"/>
      <c r="E50" s="70"/>
      <c r="F50" s="139"/>
      <c r="G50" s="115"/>
      <c r="H50" s="115"/>
      <c r="I50" s="89"/>
      <c r="J50" s="71"/>
    </row>
    <row r="51" spans="1:10" s="1" customFormat="1" ht="15.75">
      <c r="A51" s="173" t="s">
        <v>30</v>
      </c>
      <c r="B51" s="24"/>
      <c r="C51" s="24"/>
      <c r="D51" s="24"/>
      <c r="E51" s="3"/>
      <c r="F51" s="14"/>
      <c r="G51" s="85"/>
      <c r="H51" s="85"/>
      <c r="I51" s="95"/>
      <c r="J51" s="5"/>
    </row>
    <row r="52" spans="1:10" s="1" customFormat="1" ht="15.75">
      <c r="A52" s="172" t="s">
        <v>31</v>
      </c>
      <c r="B52" s="24"/>
      <c r="C52" s="24" t="s">
        <v>287</v>
      </c>
      <c r="D52" s="24" t="s">
        <v>1022</v>
      </c>
      <c r="E52" s="3">
        <v>13</v>
      </c>
      <c r="F52" s="14">
        <f>IF(D52="ag-01",0.12,IF(D52="ag-02",0.09,IF(D52="ar-03",12.03,IF(D52="ar-08",16,IF(D52="op-02",4.31,IF(D52="op-01",6.89,IF(D52="pd-01",0.23,IF(D52="pd-02",0.5))))))))</f>
        <v>0.5</v>
      </c>
      <c r="G52" s="25">
        <f>E52*F52</f>
        <v>6.5</v>
      </c>
      <c r="I52" s="95">
        <f>SUM(G52:H54)</f>
        <v>13.764000000000001</v>
      </c>
      <c r="J52" s="5"/>
    </row>
    <row r="53" spans="1:10" s="1" customFormat="1" ht="15.75">
      <c r="A53" s="174" t="s">
        <v>289</v>
      </c>
      <c r="B53" s="24"/>
      <c r="C53" s="24" t="s">
        <v>228</v>
      </c>
      <c r="D53" s="24" t="s">
        <v>290</v>
      </c>
      <c r="E53" s="3">
        <v>0.8</v>
      </c>
      <c r="F53" s="14">
        <f>+C106</f>
        <v>6.89</v>
      </c>
      <c r="H53" s="25">
        <f>E53*F53</f>
        <v>5.5120000000000005</v>
      </c>
      <c r="I53" s="95"/>
      <c r="J53" s="5"/>
    </row>
    <row r="54" spans="1:10" s="1" customFormat="1" ht="15.75">
      <c r="A54" s="174" t="s">
        <v>227</v>
      </c>
      <c r="B54" s="24"/>
      <c r="C54" s="24" t="s">
        <v>228</v>
      </c>
      <c r="D54" s="24" t="s">
        <v>229</v>
      </c>
      <c r="E54" s="3">
        <v>0.4</v>
      </c>
      <c r="F54" s="14">
        <f>+C107</f>
        <v>4.38</v>
      </c>
      <c r="H54" s="25">
        <f>E54*F54</f>
        <v>1.752</v>
      </c>
      <c r="I54" s="95"/>
      <c r="J54" s="5"/>
    </row>
    <row r="55" spans="1:10" ht="16.5" thickBot="1">
      <c r="A55" s="90"/>
      <c r="B55" s="72"/>
      <c r="C55" s="28"/>
      <c r="D55" s="28"/>
      <c r="E55" s="8"/>
      <c r="F55" s="73"/>
      <c r="G55" s="67">
        <f>E52*F52</f>
        <v>6.5</v>
      </c>
      <c r="H55" s="252">
        <f>SUM(H53:H54)</f>
        <v>7.264</v>
      </c>
      <c r="I55" s="88"/>
      <c r="J55" s="11"/>
    </row>
    <row r="56" spans="1:10" ht="16.5" thickTop="1">
      <c r="A56" s="168">
        <v>15.8</v>
      </c>
      <c r="B56" s="113"/>
      <c r="C56" s="69"/>
      <c r="D56" s="69"/>
      <c r="E56" s="70"/>
      <c r="F56" s="139"/>
      <c r="G56" s="115"/>
      <c r="H56" s="115"/>
      <c r="I56" s="89"/>
      <c r="J56" s="71"/>
    </row>
    <row r="57" spans="1:10" s="1" customFormat="1" ht="15.75">
      <c r="A57" s="173" t="s">
        <v>32</v>
      </c>
      <c r="B57" s="24"/>
      <c r="C57" s="24"/>
      <c r="D57" s="24"/>
      <c r="E57" s="3"/>
      <c r="F57" s="14"/>
      <c r="G57" s="85"/>
      <c r="H57" s="85"/>
      <c r="I57" s="95"/>
      <c r="J57" s="5"/>
    </row>
    <row r="58" spans="1:10" s="1" customFormat="1" ht="15.75">
      <c r="A58" s="172" t="s">
        <v>33</v>
      </c>
      <c r="B58" s="24"/>
      <c r="C58" s="24" t="s">
        <v>287</v>
      </c>
      <c r="D58" s="24" t="s">
        <v>355</v>
      </c>
      <c r="E58" s="3">
        <v>5.38</v>
      </c>
      <c r="F58" s="14">
        <f>IF(D58="ag-01",0.12,IF(D58="ag-02",0.09,IF(D58="ar-03",12.03,IF(D58="ar-08",16,IF(D58="op-02",4.31,IF(D58="op-01",6.89,IF(D58="pd-01",0.23,IF(D58="pd-02",0.5))))))))</f>
        <v>0.12</v>
      </c>
      <c r="G58" s="25">
        <f>E58*F58</f>
        <v>0.6456</v>
      </c>
      <c r="I58" s="95">
        <f>SUM(G58:H61)</f>
        <v>3.06802</v>
      </c>
      <c r="J58" s="5"/>
    </row>
    <row r="59" spans="1:10" s="1" customFormat="1" ht="15.75">
      <c r="A59" s="174" t="s">
        <v>559</v>
      </c>
      <c r="B59" s="24"/>
      <c r="C59" s="24" t="s">
        <v>357</v>
      </c>
      <c r="D59" s="24" t="s">
        <v>560</v>
      </c>
      <c r="E59" s="3">
        <v>0.014</v>
      </c>
      <c r="F59" s="14">
        <f>IF(D59="ag-01",0.12,IF(D59="ag-02",0.09,IF(D59="ar-03",12.03,IF(D59="ar-08",16,IF(D59="op-02",4.31,IF(D59="op-01",6.89,IF(D59="pd-01",0.23,IF(D59="pd-02",0.5))))))))</f>
        <v>12.03</v>
      </c>
      <c r="G59" s="25">
        <f>E59*F59</f>
        <v>0.16842</v>
      </c>
      <c r="I59" s="95"/>
      <c r="J59" s="5"/>
    </row>
    <row r="60" spans="1:10" s="1" customFormat="1" ht="15.75">
      <c r="A60" s="174" t="s">
        <v>289</v>
      </c>
      <c r="B60" s="24"/>
      <c r="C60" s="24" t="s">
        <v>228</v>
      </c>
      <c r="D60" s="24" t="s">
        <v>290</v>
      </c>
      <c r="E60" s="3">
        <v>0.2</v>
      </c>
      <c r="F60" s="14">
        <f>+C106</f>
        <v>6.89</v>
      </c>
      <c r="H60" s="25">
        <f>E60*F60</f>
        <v>1.3780000000000001</v>
      </c>
      <c r="I60" s="95"/>
      <c r="J60" s="5"/>
    </row>
    <row r="61" spans="1:10" s="1" customFormat="1" ht="15.75">
      <c r="A61" s="174" t="s">
        <v>227</v>
      </c>
      <c r="B61" s="24"/>
      <c r="C61" s="24" t="s">
        <v>228</v>
      </c>
      <c r="D61" s="24" t="s">
        <v>229</v>
      </c>
      <c r="E61" s="3">
        <v>0.2</v>
      </c>
      <c r="F61" s="14">
        <f>+C107</f>
        <v>4.38</v>
      </c>
      <c r="H61" s="25">
        <f>E61*F61</f>
        <v>0.876</v>
      </c>
      <c r="I61" s="95"/>
      <c r="J61" s="5"/>
    </row>
    <row r="62" spans="1:10" ht="16.5" thickBot="1">
      <c r="A62" s="90"/>
      <c r="B62" s="72"/>
      <c r="C62" s="28"/>
      <c r="D62" s="28"/>
      <c r="E62" s="8"/>
      <c r="F62" s="73"/>
      <c r="G62" s="252">
        <f>SUM(G58:G59)</f>
        <v>0.81402</v>
      </c>
      <c r="H62" s="67">
        <f>SUM(H60:H61)</f>
        <v>2.254</v>
      </c>
      <c r="I62" s="88"/>
      <c r="J62" s="11"/>
    </row>
    <row r="63" spans="1:10" ht="16.5" thickTop="1">
      <c r="A63" s="168">
        <v>15.9</v>
      </c>
      <c r="B63" s="113"/>
      <c r="C63" s="69"/>
      <c r="D63" s="69"/>
      <c r="E63" s="70"/>
      <c r="F63" s="139"/>
      <c r="G63" s="115"/>
      <c r="H63" s="115"/>
      <c r="I63" s="89"/>
      <c r="J63" s="71"/>
    </row>
    <row r="64" spans="1:10" s="1" customFormat="1" ht="15.75">
      <c r="A64" s="173" t="s">
        <v>34</v>
      </c>
      <c r="B64" s="24"/>
      <c r="C64" s="24"/>
      <c r="D64" s="24"/>
      <c r="E64" s="3"/>
      <c r="F64" s="14"/>
      <c r="G64" s="85"/>
      <c r="H64" s="85"/>
      <c r="I64" s="95"/>
      <c r="J64" s="5"/>
    </row>
    <row r="65" spans="1:10" s="1" customFormat="1" ht="15.75">
      <c r="A65" s="173" t="s">
        <v>35</v>
      </c>
      <c r="B65" s="24"/>
      <c r="C65" s="24"/>
      <c r="D65" s="24"/>
      <c r="E65" s="3"/>
      <c r="F65" s="14"/>
      <c r="G65" s="85"/>
      <c r="H65" s="85"/>
      <c r="I65" s="95"/>
      <c r="J65" s="5"/>
    </row>
    <row r="66" spans="1:10" s="1" customFormat="1" ht="15.75">
      <c r="A66" s="172" t="s">
        <v>36</v>
      </c>
      <c r="B66" s="24"/>
      <c r="C66" s="24" t="s">
        <v>294</v>
      </c>
      <c r="D66" s="24" t="s">
        <v>519</v>
      </c>
      <c r="E66" s="3">
        <v>0.4</v>
      </c>
      <c r="F66" s="14">
        <f>IF(D66="ac-01",1.06,IF(D66="md-02",3.73,IF(D66="ef-03",1,IF(D66="al-02",1,IF(D66="op-02",4.31,IF(D66="op-01",6.89,IF(D66="pd-01",0.23,IF(D66="pd-02",0.5))))))))</f>
        <v>3.73</v>
      </c>
      <c r="G66" s="25">
        <f>E66*F66</f>
        <v>1.492</v>
      </c>
      <c r="I66" s="95">
        <f>SUM(G66:H71)</f>
        <v>11.2615</v>
      </c>
      <c r="J66" s="5"/>
    </row>
    <row r="67" spans="1:10" s="1" customFormat="1" ht="15.75">
      <c r="A67" s="174" t="s">
        <v>37</v>
      </c>
      <c r="B67" s="24"/>
      <c r="C67" s="24" t="s">
        <v>294</v>
      </c>
      <c r="D67" s="24" t="s">
        <v>38</v>
      </c>
      <c r="E67" s="3">
        <v>1.15</v>
      </c>
      <c r="F67" s="14">
        <f>IF(D67="ac-10",0.9,IF(D67="md-02",3.73,IF(D67="ef-03",1,IF(D67="al-02",1,IF(D67="op-02",4.31,IF(D67="op-01",6.89,IF(D67="pd-01",0.23,IF(D67="pd-02",0.5))))))))</f>
        <v>0.9</v>
      </c>
      <c r="G67" s="25">
        <f>E67*F67</f>
        <v>1.035</v>
      </c>
      <c r="I67" s="95"/>
      <c r="J67" s="5"/>
    </row>
    <row r="68" spans="1:10" s="1" customFormat="1" ht="15.75">
      <c r="A68" s="174" t="s">
        <v>520</v>
      </c>
      <c r="B68" s="24"/>
      <c r="C68" s="24" t="s">
        <v>287</v>
      </c>
      <c r="D68" s="24" t="s">
        <v>39</v>
      </c>
      <c r="E68" s="3">
        <v>0.15</v>
      </c>
      <c r="F68" s="14">
        <f>IF(D68="ac-10",0.9,IF(D68="md-02",3.73,IF(D68="ef-03",1,IF(D68="al-02",1,IF(D68="op-02",4.31,IF(D68="op-01",6.89,IF(D68="pd-01",0.23,IF(D68="pd-02",0.5))))))))</f>
        <v>1</v>
      </c>
      <c r="G68" s="25">
        <f>E68*F68</f>
        <v>0.15</v>
      </c>
      <c r="I68" s="95"/>
      <c r="J68" s="5"/>
    </row>
    <row r="69" spans="1:10" s="1" customFormat="1" ht="15.75">
      <c r="A69" s="174" t="s">
        <v>40</v>
      </c>
      <c r="B69" s="24"/>
      <c r="C69" s="24" t="s">
        <v>287</v>
      </c>
      <c r="D69" s="24" t="s">
        <v>711</v>
      </c>
      <c r="E69" s="3">
        <v>0.1</v>
      </c>
      <c r="F69" s="14">
        <f>IF(D69="ac-10",0.9,IF(D69="md-02",3.73,IF(D69="ef-03",1,IF(D69="al-02",1,IF(D69="op-02",4.31,IF(D69="op-01",6.89,IF(D69="pd-01",0.23,IF(D69="pd-02",0.5))))))))</f>
        <v>1</v>
      </c>
      <c r="G69" s="25">
        <f>E69*F69</f>
        <v>0.1</v>
      </c>
      <c r="I69" s="95"/>
      <c r="J69" s="5"/>
    </row>
    <row r="70" spans="1:10" s="1" customFormat="1" ht="15.75">
      <c r="A70" s="174" t="s">
        <v>289</v>
      </c>
      <c r="B70" s="24"/>
      <c r="C70" s="24" t="s">
        <v>228</v>
      </c>
      <c r="D70" s="24" t="s">
        <v>290</v>
      </c>
      <c r="E70" s="3">
        <v>0.85</v>
      </c>
      <c r="F70" s="14">
        <f>+C106</f>
        <v>6.89</v>
      </c>
      <c r="H70" s="25">
        <f>E70*F70</f>
        <v>5.8565</v>
      </c>
      <c r="I70" s="95"/>
      <c r="J70" s="5"/>
    </row>
    <row r="71" spans="1:10" s="1" customFormat="1" ht="15.75">
      <c r="A71" s="174" t="s">
        <v>227</v>
      </c>
      <c r="B71" s="24"/>
      <c r="C71" s="24" t="s">
        <v>228</v>
      </c>
      <c r="D71" s="24" t="s">
        <v>229</v>
      </c>
      <c r="E71" s="3">
        <v>0.6</v>
      </c>
      <c r="F71" s="14">
        <f>+C107</f>
        <v>4.38</v>
      </c>
      <c r="H71" s="25">
        <f>E71*F71</f>
        <v>2.6279999999999997</v>
      </c>
      <c r="I71" s="95"/>
      <c r="J71" s="5"/>
    </row>
    <row r="72" spans="1:10" ht="16.5" thickBot="1">
      <c r="A72" s="90"/>
      <c r="B72" s="72"/>
      <c r="C72" s="28"/>
      <c r="D72" s="28"/>
      <c r="E72" s="8"/>
      <c r="F72" s="73"/>
      <c r="G72" s="252">
        <f>SUM(G66:G69)</f>
        <v>2.777</v>
      </c>
      <c r="H72" s="252">
        <f>SUM(H70:H71)</f>
        <v>8.484499999999999</v>
      </c>
      <c r="I72" s="88"/>
      <c r="J72" s="11"/>
    </row>
    <row r="73" spans="1:10" ht="16.5" thickTop="1">
      <c r="A73" s="176">
        <v>15.1</v>
      </c>
      <c r="B73" s="113"/>
      <c r="C73" s="69"/>
      <c r="D73" s="69"/>
      <c r="E73" s="70"/>
      <c r="F73" s="139"/>
      <c r="G73" s="115"/>
      <c r="H73" s="115"/>
      <c r="I73" s="89"/>
      <c r="J73" s="71"/>
    </row>
    <row r="74" spans="1:10" s="1" customFormat="1" ht="15.75">
      <c r="A74" s="173" t="s">
        <v>34</v>
      </c>
      <c r="B74" s="24"/>
      <c r="C74" s="24"/>
      <c r="D74" s="24"/>
      <c r="E74" s="3"/>
      <c r="F74" s="14"/>
      <c r="G74" s="85"/>
      <c r="H74" s="85"/>
      <c r="I74" s="95"/>
      <c r="J74" s="5"/>
    </row>
    <row r="75" spans="1:10" s="1" customFormat="1" ht="15.75">
      <c r="A75" s="173" t="s">
        <v>41</v>
      </c>
      <c r="B75" s="24"/>
      <c r="C75" s="24"/>
      <c r="D75" s="24"/>
      <c r="E75" s="3"/>
      <c r="F75" s="14"/>
      <c r="G75" s="85"/>
      <c r="H75" s="85"/>
      <c r="I75" s="95"/>
      <c r="J75" s="5"/>
    </row>
    <row r="76" spans="1:10" s="1" customFormat="1" ht="15.75">
      <c r="A76" s="172" t="s">
        <v>36</v>
      </c>
      <c r="B76" s="24"/>
      <c r="C76" s="24" t="s">
        <v>294</v>
      </c>
      <c r="D76" s="24" t="s">
        <v>519</v>
      </c>
      <c r="E76" s="3">
        <v>0.6</v>
      </c>
      <c r="F76" s="14">
        <f>IF(D76="ac-10",0.9,IF(D76="md-02",3.73,IF(D76="ef-03",1,IF(D76="al-02",1,IF(D76="op-02",4.31,IF(D76="op-01",6.89,IF(D76="pd-01",0.23,IF(D76="pd-02",0.5))))))))</f>
        <v>3.73</v>
      </c>
      <c r="G76" s="25">
        <f>E76*F76</f>
        <v>2.238</v>
      </c>
      <c r="I76" s="95">
        <f>SUM(G76:H81)</f>
        <v>12.571</v>
      </c>
      <c r="J76" s="5"/>
    </row>
    <row r="77" spans="1:10" s="1" customFormat="1" ht="15.75">
      <c r="A77" s="174" t="s">
        <v>37</v>
      </c>
      <c r="B77" s="24"/>
      <c r="C77" s="24" t="s">
        <v>294</v>
      </c>
      <c r="D77" s="24" t="s">
        <v>38</v>
      </c>
      <c r="E77" s="3">
        <v>1.15</v>
      </c>
      <c r="F77" s="14">
        <f>IF(D77="ac-10",0.9,IF(D77="md-02",3.73,IF(D77="ef-03",1,IF(D77="al-02",1,IF(D77="op-02",4.31,IF(D77="op-01",6.89,IF(D77="pd-01",0.23,IF(D77="pd-02",0.5))))))))</f>
        <v>0.9</v>
      </c>
      <c r="G77" s="25">
        <f>E77*F77</f>
        <v>1.035</v>
      </c>
      <c r="I77" s="95"/>
      <c r="J77" s="5"/>
    </row>
    <row r="78" spans="1:10" s="1" customFormat="1" ht="15.75">
      <c r="A78" s="174" t="s">
        <v>520</v>
      </c>
      <c r="B78" s="24"/>
      <c r="C78" s="24" t="s">
        <v>287</v>
      </c>
      <c r="D78" s="24" t="s">
        <v>39</v>
      </c>
      <c r="E78" s="3">
        <v>0.15</v>
      </c>
      <c r="F78" s="14">
        <f>IF(D78="ac-10",0.9,IF(D78="md-02",3.73,IF(D78="ef-03",1,IF(D78="al-02",1,IF(D78="op-02",4.31,IF(D78="op-01",6.89,IF(D78="pd-01",0.23,IF(D78="pd-02",0.5))))))))</f>
        <v>1</v>
      </c>
      <c r="G78" s="25">
        <f>E78*F78</f>
        <v>0.15</v>
      </c>
      <c r="I78" s="95"/>
      <c r="J78" s="5"/>
    </row>
    <row r="79" spans="1:10" s="1" customFormat="1" ht="15.75">
      <c r="A79" s="174" t="s">
        <v>40</v>
      </c>
      <c r="B79" s="24"/>
      <c r="C79" s="24" t="s">
        <v>287</v>
      </c>
      <c r="D79" s="24" t="s">
        <v>711</v>
      </c>
      <c r="E79" s="3">
        <v>0.1</v>
      </c>
      <c r="F79" s="14">
        <f>IF(D79="ac-10",0.9,IF(D79="md-02",3.73,IF(D79="ef-03",1,IF(D79="al-02",1,IF(D79="op-02",4.31,IF(D79="op-01",6.89,IF(D79="pd-01",0.23,IF(D79="pd-02",0.5))))))))</f>
        <v>1</v>
      </c>
      <c r="G79" s="25">
        <f>E79*F79</f>
        <v>0.1</v>
      </c>
      <c r="I79" s="95"/>
      <c r="J79" s="5"/>
    </row>
    <row r="80" spans="1:10" s="1" customFormat="1" ht="15.75">
      <c r="A80" s="174" t="s">
        <v>289</v>
      </c>
      <c r="B80" s="24"/>
      <c r="C80" s="24" t="s">
        <v>228</v>
      </c>
      <c r="D80" s="24" t="s">
        <v>290</v>
      </c>
      <c r="E80" s="3">
        <v>0.9</v>
      </c>
      <c r="F80" s="14">
        <f>+C106</f>
        <v>6.89</v>
      </c>
      <c r="H80" s="25">
        <f>E80*F80</f>
        <v>6.201</v>
      </c>
      <c r="I80" s="95"/>
      <c r="J80" s="5"/>
    </row>
    <row r="81" spans="1:10" s="1" customFormat="1" ht="15.75">
      <c r="A81" s="174" t="s">
        <v>227</v>
      </c>
      <c r="B81" s="24"/>
      <c r="C81" s="24" t="s">
        <v>228</v>
      </c>
      <c r="D81" s="24" t="s">
        <v>229</v>
      </c>
      <c r="E81" s="3">
        <v>0.65</v>
      </c>
      <c r="F81" s="14">
        <f>+C107</f>
        <v>4.38</v>
      </c>
      <c r="H81" s="25">
        <f>E81*F81</f>
        <v>2.847</v>
      </c>
      <c r="I81" s="95"/>
      <c r="J81" s="5"/>
    </row>
    <row r="82" spans="1:10" ht="16.5" thickBot="1">
      <c r="A82" s="90"/>
      <c r="B82" s="72"/>
      <c r="C82" s="28"/>
      <c r="D82" s="28"/>
      <c r="E82" s="8"/>
      <c r="F82" s="73"/>
      <c r="G82" s="252">
        <f>SUM(G76:G79)</f>
        <v>3.5229999999999997</v>
      </c>
      <c r="H82" s="252">
        <f>SUM(H80:H81)</f>
        <v>9.048</v>
      </c>
      <c r="I82" s="88"/>
      <c r="J82" s="11"/>
    </row>
    <row r="83" spans="1:10" ht="16.5" thickTop="1">
      <c r="A83" s="168">
        <v>15.11</v>
      </c>
      <c r="B83" s="113"/>
      <c r="C83" s="69"/>
      <c r="D83" s="69"/>
      <c r="E83" s="70"/>
      <c r="F83" s="139"/>
      <c r="G83" s="115"/>
      <c r="H83" s="115"/>
      <c r="I83" s="89"/>
      <c r="J83" s="71"/>
    </row>
    <row r="84" spans="1:10" s="1" customFormat="1" ht="15.75">
      <c r="A84" s="173" t="s">
        <v>42</v>
      </c>
      <c r="B84" s="24"/>
      <c r="C84" s="24"/>
      <c r="D84" s="24"/>
      <c r="E84" s="3"/>
      <c r="F84" s="14"/>
      <c r="G84" s="85"/>
      <c r="H84" s="85"/>
      <c r="I84" s="95"/>
      <c r="J84" s="5"/>
    </row>
    <row r="85" spans="1:10" s="1" customFormat="1" ht="15.75">
      <c r="A85" s="173" t="s">
        <v>43</v>
      </c>
      <c r="B85" s="24"/>
      <c r="C85" s="24"/>
      <c r="D85" s="24"/>
      <c r="E85" s="3"/>
      <c r="F85" s="14"/>
      <c r="G85" s="85"/>
      <c r="H85" s="85"/>
      <c r="I85" s="95"/>
      <c r="J85" s="5"/>
    </row>
    <row r="86" spans="1:10" s="1" customFormat="1" ht="15.75">
      <c r="A86" s="172" t="s">
        <v>44</v>
      </c>
      <c r="B86" s="24"/>
      <c r="C86" s="24" t="s">
        <v>287</v>
      </c>
      <c r="D86" s="24" t="s">
        <v>703</v>
      </c>
      <c r="E86" s="3">
        <v>6</v>
      </c>
      <c r="F86" s="14">
        <f>IF(D86="ac-10",0.9,IF(D86="ac-04",0.51,IF(D86="ef-03",1,IF(D86="al-02",1,IF(D86="op-02",4.31,IF(D86="op-01",6.89,IF(D86="pd-01",0.23,IF(D86="pd-02",0.5))))))))</f>
        <v>0.51</v>
      </c>
      <c r="G86" s="25">
        <f>E86*F86</f>
        <v>3.06</v>
      </c>
      <c r="I86" s="95">
        <f>SUM(G86:H90)</f>
        <v>15.7385</v>
      </c>
      <c r="J86" s="5"/>
    </row>
    <row r="87" spans="1:10" s="1" customFormat="1" ht="15.75">
      <c r="A87" s="174" t="s">
        <v>37</v>
      </c>
      <c r="B87" s="24"/>
      <c r="C87" s="24" t="s">
        <v>294</v>
      </c>
      <c r="D87" s="24" t="s">
        <v>38</v>
      </c>
      <c r="E87" s="3">
        <v>1.15</v>
      </c>
      <c r="F87" s="14">
        <f>IF(D87="ac-10",0.9,IF(D87="ac-04",0.51,IF(D87="ef-03",1,IF(D87="al-02",1,IF(D87="op-02",4.31,IF(D87="op-01",6.89,IF(D87="pd-01",0.23,IF(D87="pd-02",0.5))))))))</f>
        <v>0.9</v>
      </c>
      <c r="G87" s="25">
        <f>E87*F87</f>
        <v>1.035</v>
      </c>
      <c r="I87" s="95"/>
      <c r="J87" s="5"/>
    </row>
    <row r="88" spans="1:10" s="1" customFormat="1" ht="15.75">
      <c r="A88" s="174" t="s">
        <v>40</v>
      </c>
      <c r="B88" s="24"/>
      <c r="C88" s="24" t="s">
        <v>287</v>
      </c>
      <c r="D88" s="24" t="s">
        <v>711</v>
      </c>
      <c r="E88" s="3">
        <v>2</v>
      </c>
      <c r="F88" s="14">
        <f>IF(D88="ac-10",0.9,IF(D88="ac-04",0.51,IF(D88="ef-03",1,IF(D88="al-02",1,IF(D88="op-02",4.31,IF(D88="op-01",6.89,IF(D88="pd-01",0.23,IF(D88="pd-02",0.5))))))))</f>
        <v>1</v>
      </c>
      <c r="G88" s="25">
        <f>E88*F88</f>
        <v>2</v>
      </c>
      <c r="I88" s="95"/>
      <c r="J88" s="5"/>
    </row>
    <row r="89" spans="1:10" s="1" customFormat="1" ht="15.75">
      <c r="A89" s="174" t="s">
        <v>289</v>
      </c>
      <c r="B89" s="24"/>
      <c r="C89" s="24" t="s">
        <v>228</v>
      </c>
      <c r="D89" s="24" t="s">
        <v>290</v>
      </c>
      <c r="E89" s="3">
        <v>1.05</v>
      </c>
      <c r="F89" s="14">
        <f>+C106</f>
        <v>6.89</v>
      </c>
      <c r="H89" s="25">
        <f>E89*F89</f>
        <v>7.2345</v>
      </c>
      <c r="I89" s="95"/>
      <c r="J89" s="5"/>
    </row>
    <row r="90" spans="1:10" s="1" customFormat="1" ht="15.75">
      <c r="A90" s="174" t="s">
        <v>227</v>
      </c>
      <c r="B90" s="24"/>
      <c r="C90" s="24" t="s">
        <v>228</v>
      </c>
      <c r="D90" s="24" t="s">
        <v>229</v>
      </c>
      <c r="E90" s="3">
        <v>0.55</v>
      </c>
      <c r="F90" s="14">
        <f>+C107</f>
        <v>4.38</v>
      </c>
      <c r="H90" s="25">
        <f>E90*F90</f>
        <v>2.4090000000000003</v>
      </c>
      <c r="I90" s="95"/>
      <c r="J90" s="5"/>
    </row>
    <row r="91" spans="1:10" ht="16.5" thickBot="1">
      <c r="A91" s="90"/>
      <c r="B91" s="72"/>
      <c r="C91" s="28"/>
      <c r="D91" s="28"/>
      <c r="E91" s="8"/>
      <c r="F91" s="73"/>
      <c r="G91" s="252">
        <f>SUM(G86:G88)</f>
        <v>6.095</v>
      </c>
      <c r="H91" s="252">
        <f>SUM(H89:H90)</f>
        <v>9.6435</v>
      </c>
      <c r="I91" s="88"/>
      <c r="J91" s="11"/>
    </row>
    <row r="92" spans="1:10" ht="16.5" thickTop="1">
      <c r="A92" s="91">
        <v>15.12</v>
      </c>
      <c r="B92" s="113"/>
      <c r="C92" s="69"/>
      <c r="D92" s="69"/>
      <c r="E92" s="70"/>
      <c r="F92" s="139"/>
      <c r="G92" s="115"/>
      <c r="H92" s="213"/>
      <c r="I92" s="89"/>
      <c r="J92" s="153"/>
    </row>
    <row r="93" spans="1:10" s="1" customFormat="1" ht="15.75">
      <c r="A93" s="174" t="s">
        <v>42</v>
      </c>
      <c r="B93" s="24"/>
      <c r="C93" s="24"/>
      <c r="D93" s="24"/>
      <c r="E93" s="3"/>
      <c r="F93" s="14"/>
      <c r="G93" s="85"/>
      <c r="H93" s="85"/>
      <c r="I93" s="95"/>
      <c r="J93" s="5"/>
    </row>
    <row r="94" spans="1:10" s="1" customFormat="1" ht="15.75">
      <c r="A94" s="174" t="s">
        <v>45</v>
      </c>
      <c r="B94" s="24"/>
      <c r="C94" s="24"/>
      <c r="D94" s="24"/>
      <c r="E94" s="3"/>
      <c r="F94" s="14"/>
      <c r="G94" s="85"/>
      <c r="H94" s="85"/>
      <c r="I94" s="95"/>
      <c r="J94" s="5"/>
    </row>
    <row r="95" spans="1:10" s="1" customFormat="1" ht="15.75">
      <c r="A95" s="174" t="s">
        <v>46</v>
      </c>
      <c r="B95" s="24"/>
      <c r="C95" s="24"/>
      <c r="D95" s="24"/>
      <c r="E95" s="3"/>
      <c r="F95" s="14"/>
      <c r="G95" s="85"/>
      <c r="H95" s="85"/>
      <c r="I95" s="95"/>
      <c r="J95" s="5"/>
    </row>
    <row r="96" spans="1:10" s="1" customFormat="1" ht="15.75">
      <c r="A96" s="174" t="s">
        <v>47</v>
      </c>
      <c r="B96" s="24"/>
      <c r="C96" s="24" t="s">
        <v>287</v>
      </c>
      <c r="D96" s="24" t="s">
        <v>48</v>
      </c>
      <c r="E96" s="3">
        <v>7</v>
      </c>
      <c r="F96" s="14">
        <f>IF(D96="ac-09",0.52,IF(D96="ac-04",0.51,IF(D96="ac-10",0.9,IF(D96="al-02",1,IF(D96="op-02",4.31,IF(D96="op-01",6.89,IF(D96="pd-01",0.23,IF(D96="pd-02",0.5))))))))</f>
        <v>0.52</v>
      </c>
      <c r="G96" s="25">
        <f>E96*F96</f>
        <v>3.64</v>
      </c>
      <c r="I96" s="95">
        <f>SUM(G96:H101)</f>
        <v>18.106</v>
      </c>
      <c r="J96" s="5"/>
    </row>
    <row r="97" spans="1:10" s="1" customFormat="1" ht="15.75">
      <c r="A97" s="174" t="s">
        <v>49</v>
      </c>
      <c r="B97" s="24"/>
      <c r="C97" s="24" t="s">
        <v>287</v>
      </c>
      <c r="D97" s="24" t="s">
        <v>703</v>
      </c>
      <c r="E97" s="3">
        <v>5.5</v>
      </c>
      <c r="F97" s="14">
        <f>IF(D97="ac-09",0.52,IF(D97="ac-04",0.51,IF(D97="ac-10",0.9,IF(D97="al-02",1,IF(D97="op-02",4.31,IF(D97="op-01",6.89,IF(D97="pd-01",0.23,IF(D97="pd-02",0.5))))))))</f>
        <v>0.51</v>
      </c>
      <c r="G97" s="25">
        <f>E97*F97</f>
        <v>2.805</v>
      </c>
      <c r="I97" s="95"/>
      <c r="J97" s="5"/>
    </row>
    <row r="98" spans="1:10" s="1" customFormat="1" ht="15.75">
      <c r="A98" s="174" t="s">
        <v>37</v>
      </c>
      <c r="B98" s="24"/>
      <c r="C98" s="24" t="s">
        <v>294</v>
      </c>
      <c r="D98" s="24" t="s">
        <v>38</v>
      </c>
      <c r="E98" s="3">
        <v>1.15</v>
      </c>
      <c r="F98" s="14">
        <f>IF(D98="ac-09",0.52,IF(D98="ac-04",0.51,IF(D98="ac-10",0.9,IF(D98="al-02",1,IF(D98="op-02",4.31,IF(D98="op-01",6.89,IF(D98="pd-01",0.23,IF(D98="pd-02",0.5))))))))</f>
        <v>0.9</v>
      </c>
      <c r="G98" s="25">
        <f>E98*F98</f>
        <v>1.035</v>
      </c>
      <c r="I98" s="95"/>
      <c r="J98" s="5"/>
    </row>
    <row r="99" spans="1:10" s="1" customFormat="1" ht="15.75">
      <c r="A99" s="174" t="s">
        <v>40</v>
      </c>
      <c r="B99" s="24"/>
      <c r="C99" s="24" t="s">
        <v>287</v>
      </c>
      <c r="D99" s="24" t="s">
        <v>711</v>
      </c>
      <c r="E99" s="3">
        <v>0.2</v>
      </c>
      <c r="F99" s="14">
        <f>IF(D99="ac-09",0.52,IF(D99="ac-04",0.51,IF(D99="ac-10",0.9,IF(D99="al-02",1,IF(D99="op-02",4.31,IF(D99="op-01",6.89,IF(D99="pd-01",0.23,IF(D99="pd-02",0.5))))))))</f>
        <v>1</v>
      </c>
      <c r="G99" s="25">
        <f>E99*F99</f>
        <v>0.2</v>
      </c>
      <c r="I99" s="95"/>
      <c r="J99" s="5"/>
    </row>
    <row r="100" spans="1:10" s="1" customFormat="1" ht="15.75">
      <c r="A100" s="174" t="s">
        <v>289</v>
      </c>
      <c r="B100" s="24"/>
      <c r="C100" s="24" t="s">
        <v>228</v>
      </c>
      <c r="D100" s="24" t="s">
        <v>290</v>
      </c>
      <c r="E100" s="3">
        <v>1.1</v>
      </c>
      <c r="F100" s="14">
        <f>+C106</f>
        <v>6.89</v>
      </c>
      <c r="H100" s="25">
        <f>E100*F100</f>
        <v>7.579000000000001</v>
      </c>
      <c r="I100" s="95"/>
      <c r="J100" s="5"/>
    </row>
    <row r="101" spans="1:10" s="1" customFormat="1" ht="15.75">
      <c r="A101" s="174" t="s">
        <v>227</v>
      </c>
      <c r="B101" s="24"/>
      <c r="C101" s="24" t="s">
        <v>228</v>
      </c>
      <c r="D101" s="24" t="s">
        <v>229</v>
      </c>
      <c r="E101" s="3">
        <v>0.65</v>
      </c>
      <c r="F101" s="14">
        <f>+C107</f>
        <v>4.38</v>
      </c>
      <c r="H101" s="25">
        <f>E101*F101</f>
        <v>2.847</v>
      </c>
      <c r="I101" s="95"/>
      <c r="J101" s="5"/>
    </row>
    <row r="102" spans="1:10" ht="16.5" thickBot="1">
      <c r="A102" s="93"/>
      <c r="B102" s="78"/>
      <c r="C102" s="34"/>
      <c r="D102" s="16"/>
      <c r="E102" s="18"/>
      <c r="F102" s="79"/>
      <c r="G102" s="66">
        <f>SUM(G96:G99)</f>
        <v>7.680000000000001</v>
      </c>
      <c r="H102" s="66">
        <f>SUM(H100:H101)</f>
        <v>10.426</v>
      </c>
      <c r="I102" s="92"/>
      <c r="J102" s="74"/>
    </row>
    <row r="103" spans="1:10" ht="16.5" thickTop="1">
      <c r="A103" s="22"/>
      <c r="B103" s="40"/>
      <c r="C103" s="40"/>
      <c r="D103" s="40"/>
      <c r="E103" s="23"/>
      <c r="F103" s="21"/>
      <c r="G103" s="21"/>
      <c r="H103" s="21"/>
      <c r="I103" s="21"/>
      <c r="J103" s="21"/>
    </row>
    <row r="104" spans="1:10" ht="15.75">
      <c r="A104" s="22"/>
      <c r="B104" s="40"/>
      <c r="C104" s="40"/>
      <c r="D104" s="40"/>
      <c r="E104" s="23"/>
      <c r="F104" s="21"/>
      <c r="G104" s="21"/>
      <c r="H104" s="21"/>
      <c r="I104" s="21"/>
      <c r="J104" s="21"/>
    </row>
    <row r="105" spans="1:10" ht="15.75">
      <c r="A105" s="22"/>
      <c r="B105" s="40"/>
      <c r="C105" s="40"/>
      <c r="D105" s="40"/>
      <c r="E105" s="23"/>
      <c r="F105" s="21"/>
      <c r="G105" s="21"/>
      <c r="H105" s="21"/>
      <c r="I105" s="21"/>
      <c r="J105" s="21"/>
    </row>
    <row r="106" spans="1:10" ht="15.75">
      <c r="A106" s="22"/>
      <c r="B106" s="301" t="s">
        <v>290</v>
      </c>
      <c r="C106" s="40">
        <v>6.89</v>
      </c>
      <c r="D106" s="40"/>
      <c r="E106" s="23"/>
      <c r="F106" s="21"/>
      <c r="G106" s="21"/>
      <c r="H106" s="21"/>
      <c r="I106" s="21"/>
      <c r="J106" s="21"/>
    </row>
    <row r="107" spans="2:3" ht="15.75">
      <c r="B107" s="301" t="s">
        <v>229</v>
      </c>
      <c r="C107" s="40">
        <v>4.38</v>
      </c>
    </row>
    <row r="173" spans="1:10" ht="15.75">
      <c r="A173" s="22"/>
      <c r="B173" s="40"/>
      <c r="C173" s="40"/>
      <c r="D173" s="40"/>
      <c r="E173" s="23"/>
      <c r="F173" s="21"/>
      <c r="G173" s="21"/>
      <c r="H173" s="21"/>
      <c r="I173" s="21"/>
      <c r="J173" s="21"/>
    </row>
    <row r="174" spans="1:10" ht="15.75">
      <c r="A174" s="22"/>
      <c r="B174" s="40"/>
      <c r="C174" s="40"/>
      <c r="D174" s="40"/>
      <c r="E174" s="23"/>
      <c r="F174" s="21"/>
      <c r="G174" s="21"/>
      <c r="H174" s="21"/>
      <c r="I174" s="21"/>
      <c r="J174" s="21"/>
    </row>
    <row r="175" spans="1:10" ht="15.75">
      <c r="A175" s="22"/>
      <c r="B175" s="40"/>
      <c r="C175" s="40"/>
      <c r="D175" s="40"/>
      <c r="E175" s="23"/>
      <c r="F175" s="21"/>
      <c r="G175" s="21"/>
      <c r="H175" s="21"/>
      <c r="I175" s="21"/>
      <c r="J175" s="21"/>
    </row>
    <row r="176" spans="1:10" ht="15.75">
      <c r="A176" s="22"/>
      <c r="B176" s="40"/>
      <c r="C176" s="40"/>
      <c r="D176" s="40"/>
      <c r="E176" s="23"/>
      <c r="F176" s="21"/>
      <c r="G176" s="21"/>
      <c r="H176" s="21"/>
      <c r="I176" s="21"/>
      <c r="J176" s="21"/>
    </row>
    <row r="177" spans="1:10" ht="15.75">
      <c r="A177" s="22"/>
      <c r="B177" s="40"/>
      <c r="C177" s="40"/>
      <c r="D177" s="40"/>
      <c r="E177" s="23"/>
      <c r="F177" s="21"/>
      <c r="G177" s="21"/>
      <c r="H177" s="21"/>
      <c r="I177" s="21"/>
      <c r="J177" s="21"/>
    </row>
    <row r="178" spans="1:10" ht="15.75">
      <c r="A178" s="22"/>
      <c r="B178" s="40"/>
      <c r="C178" s="40"/>
      <c r="D178" s="40"/>
      <c r="E178" s="23"/>
      <c r="F178" s="21"/>
      <c r="G178" s="21"/>
      <c r="H178" s="21"/>
      <c r="I178" s="21"/>
      <c r="J178" s="21"/>
    </row>
    <row r="179" spans="1:10" ht="15.75">
      <c r="A179" s="22"/>
      <c r="B179" s="40"/>
      <c r="C179" s="40"/>
      <c r="D179" s="40"/>
      <c r="E179" s="23"/>
      <c r="F179" s="21"/>
      <c r="G179" s="21"/>
      <c r="H179" s="21"/>
      <c r="I179" s="21"/>
      <c r="J179" s="21"/>
    </row>
    <row r="180" spans="1:10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</sheetData>
  <printOptions/>
  <pageMargins left="0.037401" right="0.037401" top="0.27" bottom="1" header="0.31" footer="0.511811024"/>
  <pageSetup horizontalDpi="200" verticalDpi="200" orientation="landscape" paperSize="5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3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24" sqref="C124"/>
    </sheetView>
  </sheetViews>
  <sheetFormatPr defaultColWidth="11.421875" defaultRowHeight="12.75"/>
  <cols>
    <col min="1" max="1" width="53.8515625" style="0" customWidth="1"/>
    <col min="2" max="2" width="5.7109375" style="0" customWidth="1"/>
    <col min="3" max="3" width="8.140625" style="0" customWidth="1"/>
    <col min="4" max="4" width="9.140625" style="0" customWidth="1"/>
    <col min="5" max="5" width="9.57421875" style="0" customWidth="1"/>
    <col min="6" max="6" width="8.7109375" style="0" customWidth="1"/>
    <col min="7" max="7" width="10.7109375" style="0" customWidth="1"/>
    <col min="8" max="8" width="9.140625" style="0" customWidth="1"/>
    <col min="9" max="9" width="10.28125" style="0" customWidth="1"/>
    <col min="10" max="10" width="56.421875" style="0" customWidth="1"/>
  </cols>
  <sheetData>
    <row r="1" spans="1:10" ht="17.25" thickBot="1" thickTop="1">
      <c r="A1" s="275" t="s">
        <v>50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08" customFormat="1" ht="64.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s="1" customFormat="1" ht="16.5" thickTop="1">
      <c r="A3" s="171">
        <v>16.1</v>
      </c>
      <c r="B3" s="125"/>
      <c r="C3" s="125"/>
      <c r="D3" s="126"/>
      <c r="E3" s="126"/>
      <c r="F3" s="126"/>
      <c r="G3" s="125"/>
      <c r="H3" s="126"/>
      <c r="I3" s="125"/>
      <c r="J3" s="152"/>
    </row>
    <row r="4" spans="1:10" s="1" customFormat="1" ht="15.75">
      <c r="A4" s="173" t="s">
        <v>51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s="1" customFormat="1" ht="15.75">
      <c r="A5" s="173" t="s">
        <v>52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s="1" customFormat="1" ht="15.75">
      <c r="A6" s="173" t="s">
        <v>53</v>
      </c>
      <c r="B6" s="125"/>
      <c r="C6" s="125"/>
      <c r="D6" s="126"/>
      <c r="E6" s="126"/>
      <c r="F6" s="126"/>
      <c r="G6" s="125"/>
      <c r="H6" s="126"/>
      <c r="I6" s="125"/>
      <c r="J6" s="152"/>
    </row>
    <row r="7" spans="1:10" s="1" customFormat="1" ht="15.75">
      <c r="A7" s="174" t="s">
        <v>624</v>
      </c>
      <c r="B7" s="24"/>
      <c r="C7" s="24" t="s">
        <v>287</v>
      </c>
      <c r="D7" s="24" t="s">
        <v>355</v>
      </c>
      <c r="E7" s="3">
        <v>14.13</v>
      </c>
      <c r="F7" s="14">
        <f>IF(D7="ag-01",0.12,IF(D7="ag-02",0.09,IF(D7="ar-03",12.03,IF(D7="ar-08",16,IF(D7="op-02",4.31,IF(D7="op-01",6.89))))))</f>
        <v>0.12</v>
      </c>
      <c r="G7" s="25">
        <f>E7*F7</f>
        <v>1.6956</v>
      </c>
      <c r="I7" s="95">
        <f>SUM(G7:H10)</f>
        <v>8.38073</v>
      </c>
      <c r="J7" s="5"/>
    </row>
    <row r="8" spans="1:10" s="1" customFormat="1" ht="15.75">
      <c r="A8" s="174" t="s">
        <v>559</v>
      </c>
      <c r="B8" s="24"/>
      <c r="C8" s="24" t="s">
        <v>357</v>
      </c>
      <c r="D8" s="24" t="s">
        <v>560</v>
      </c>
      <c r="E8" s="3">
        <v>0.031</v>
      </c>
      <c r="F8" s="14">
        <f>IF(D8="ag-01",0.12,IF(D8="ag-02",0.09,IF(D8="ar-03",12.03,IF(D8="ar-08",16,IF(D8="op-02",4.31,IF(D8="op-01",6.89))))))</f>
        <v>12.03</v>
      </c>
      <c r="G8" s="25">
        <f>E8*F8</f>
        <v>0.37293</v>
      </c>
      <c r="I8" s="95"/>
      <c r="J8" s="5"/>
    </row>
    <row r="9" spans="1:10" s="1" customFormat="1" ht="15.75">
      <c r="A9" s="174" t="s">
        <v>289</v>
      </c>
      <c r="B9" s="24"/>
      <c r="C9" s="24" t="s">
        <v>228</v>
      </c>
      <c r="D9" s="24" t="s">
        <v>290</v>
      </c>
      <c r="E9" s="3">
        <v>0.7</v>
      </c>
      <c r="F9" s="14">
        <f>+C122</f>
        <v>6.89</v>
      </c>
      <c r="H9" s="25">
        <f>E9*F9</f>
        <v>4.8229999999999995</v>
      </c>
      <c r="I9" s="95"/>
      <c r="J9" s="5"/>
    </row>
    <row r="10" spans="1:10" s="1" customFormat="1" ht="15.75">
      <c r="A10" s="174" t="s">
        <v>227</v>
      </c>
      <c r="B10" s="24"/>
      <c r="C10" s="24" t="s">
        <v>228</v>
      </c>
      <c r="D10" s="24" t="s">
        <v>229</v>
      </c>
      <c r="E10" s="3">
        <v>0.34</v>
      </c>
      <c r="F10" s="14">
        <f>+C123</f>
        <v>4.38</v>
      </c>
      <c r="H10" s="25">
        <f>E10*F10</f>
        <v>1.4892</v>
      </c>
      <c r="I10" s="95"/>
      <c r="J10" s="5"/>
    </row>
    <row r="11" spans="1:10" ht="16.5" thickBot="1">
      <c r="A11" s="90"/>
      <c r="B11" s="72"/>
      <c r="C11" s="28"/>
      <c r="D11" s="28"/>
      <c r="E11" s="8"/>
      <c r="F11" s="73"/>
      <c r="G11" s="252">
        <f>SUM(G7:G8)</f>
        <v>2.06853</v>
      </c>
      <c r="H11" s="252">
        <f>SUM(H9:H10)</f>
        <v>6.3122</v>
      </c>
      <c r="I11" s="88"/>
      <c r="J11" s="11"/>
    </row>
    <row r="12" spans="1:10" ht="16.5" thickTop="1">
      <c r="A12" s="168">
        <v>16.2</v>
      </c>
      <c r="B12" s="113"/>
      <c r="C12" s="69"/>
      <c r="D12" s="69"/>
      <c r="E12" s="70"/>
      <c r="F12" s="139"/>
      <c r="G12" s="115"/>
      <c r="H12" s="115"/>
      <c r="I12" s="89"/>
      <c r="J12" s="71"/>
    </row>
    <row r="13" spans="1:10" s="1" customFormat="1" ht="15.75">
      <c r="A13" s="173" t="s">
        <v>54</v>
      </c>
      <c r="B13" s="24"/>
      <c r="C13" s="24"/>
      <c r="D13" s="24"/>
      <c r="E13" s="3"/>
      <c r="F13" s="14"/>
      <c r="G13" s="85"/>
      <c r="H13" s="85"/>
      <c r="I13" s="95"/>
      <c r="J13" s="5"/>
    </row>
    <row r="14" spans="1:10" s="1" customFormat="1" ht="15.75">
      <c r="A14" s="173" t="s">
        <v>55</v>
      </c>
      <c r="B14" s="24"/>
      <c r="C14" s="24"/>
      <c r="D14" s="24"/>
      <c r="E14" s="3"/>
      <c r="F14" s="14"/>
      <c r="G14" s="85"/>
      <c r="H14" s="85"/>
      <c r="I14" s="95"/>
      <c r="J14" s="5"/>
    </row>
    <row r="15" spans="1:10" s="1" customFormat="1" ht="15.75">
      <c r="A15" s="172" t="s">
        <v>56</v>
      </c>
      <c r="B15" s="24"/>
      <c r="C15" s="24" t="s">
        <v>287</v>
      </c>
      <c r="D15" s="24" t="s">
        <v>355</v>
      </c>
      <c r="E15" s="3">
        <v>5.7</v>
      </c>
      <c r="F15" s="14">
        <f>IF(D15="ag-01",0.12,IF(D15="ag-02",0.09,IF(D15="ar-03",12.03,IF(D15="ar-08",16,IF(D15="op-02",4.31,IF(D15="op-01",6.89,IF(D15="ld-02",0.18)))))))</f>
        <v>0.12</v>
      </c>
      <c r="G15" s="25">
        <f>E15*F15</f>
        <v>0.6839999999999999</v>
      </c>
      <c r="I15" s="95">
        <f>SUM(G15:H20)</f>
        <v>15.785160000000001</v>
      </c>
      <c r="J15" s="5"/>
    </row>
    <row r="16" spans="1:10" s="1" customFormat="1" ht="15.75">
      <c r="A16" s="174" t="s">
        <v>557</v>
      </c>
      <c r="B16" s="24"/>
      <c r="C16" s="24" t="s">
        <v>287</v>
      </c>
      <c r="D16" s="24" t="s">
        <v>377</v>
      </c>
      <c r="E16" s="3">
        <v>5.78</v>
      </c>
      <c r="F16" s="14">
        <f>IF(D16="ag-01",0.12,IF(D16="ag-02",0.09,IF(D16="ar-03",12.03,IF(D16="ar-08",16,IF(D16="op-02",4.31,IF(D16="op-01",6.89,IF(D16="ld-02",0.18)))))))</f>
        <v>0.09</v>
      </c>
      <c r="G16" s="25">
        <f>E16*F16</f>
        <v>0.5202</v>
      </c>
      <c r="I16" s="95"/>
      <c r="J16" s="5"/>
    </row>
    <row r="17" spans="1:10" s="1" customFormat="1" ht="15.75">
      <c r="A17" s="174" t="s">
        <v>559</v>
      </c>
      <c r="B17" s="24"/>
      <c r="C17" s="24" t="s">
        <v>357</v>
      </c>
      <c r="D17" s="24" t="s">
        <v>560</v>
      </c>
      <c r="E17" s="3">
        <v>0.042</v>
      </c>
      <c r="F17" s="14">
        <f>IF(D17="ag-01",0.12,IF(D17="ag-02",0.09,IF(D17="ar-03",12.03,IF(D17="ar-08",16,IF(D17="op-02",4.31,IF(D17="op-01",6.89,IF(D17="ld-02",0.18)))))))</f>
        <v>12.03</v>
      </c>
      <c r="G17" s="25">
        <f>E17*F17</f>
        <v>0.50526</v>
      </c>
      <c r="I17" s="95"/>
      <c r="J17" s="5"/>
    </row>
    <row r="18" spans="1:10" s="1" customFormat="1" ht="15.75">
      <c r="A18" s="174" t="s">
        <v>625</v>
      </c>
      <c r="B18" s="24"/>
      <c r="C18" s="24" t="s">
        <v>574</v>
      </c>
      <c r="D18" s="24" t="s">
        <v>769</v>
      </c>
      <c r="E18" s="3">
        <v>28</v>
      </c>
      <c r="F18" s="14">
        <f>IF(D18="ag-01",0.12,IF(D18="ag-02",0.09,IF(D18="ar-03",12.03,IF(D18="ar-08",16,IF(D18="op-02",4.31,IF(D18="op-01",6.89,IF(D18="ld-02",0.18)))))))</f>
        <v>0.18</v>
      </c>
      <c r="G18" s="25">
        <f>E18*F18</f>
        <v>5.04</v>
      </c>
      <c r="I18" s="95"/>
      <c r="J18" s="5"/>
    </row>
    <row r="19" spans="1:10" s="1" customFormat="1" ht="15.75">
      <c r="A19" s="174" t="s">
        <v>289</v>
      </c>
      <c r="B19" s="24"/>
      <c r="C19" s="24" t="s">
        <v>228</v>
      </c>
      <c r="D19" s="24" t="s">
        <v>290</v>
      </c>
      <c r="E19" s="3">
        <v>0.93</v>
      </c>
      <c r="F19" s="14">
        <f>+C122</f>
        <v>6.89</v>
      </c>
      <c r="H19" s="25">
        <f>E19*F19</f>
        <v>6.4077</v>
      </c>
      <c r="I19" s="95"/>
      <c r="J19" s="5"/>
    </row>
    <row r="20" spans="1:10" s="1" customFormat="1" ht="15.75">
      <c r="A20" s="174" t="s">
        <v>227</v>
      </c>
      <c r="B20" s="24"/>
      <c r="C20" s="24" t="s">
        <v>228</v>
      </c>
      <c r="D20" s="24" t="s">
        <v>229</v>
      </c>
      <c r="E20" s="3">
        <v>0.6</v>
      </c>
      <c r="F20" s="14">
        <f>+C123</f>
        <v>4.38</v>
      </c>
      <c r="H20" s="25">
        <f>E20*F20</f>
        <v>2.6279999999999997</v>
      </c>
      <c r="I20" s="95"/>
      <c r="J20" s="5"/>
    </row>
    <row r="21" spans="1:10" ht="16.5" thickBot="1">
      <c r="A21" s="90"/>
      <c r="B21" s="72"/>
      <c r="C21" s="28"/>
      <c r="D21" s="28"/>
      <c r="E21" s="8"/>
      <c r="F21" s="73"/>
      <c r="G21" s="252">
        <f>SUM(G15:G18)</f>
        <v>6.74946</v>
      </c>
      <c r="H21" s="252">
        <f>SUM(H19:H20)</f>
        <v>9.0357</v>
      </c>
      <c r="I21" s="88"/>
      <c r="J21" s="11"/>
    </row>
    <row r="22" spans="1:10" ht="16.5" thickTop="1">
      <c r="A22" s="168">
        <v>16.3</v>
      </c>
      <c r="B22" s="113"/>
      <c r="C22" s="69"/>
      <c r="D22" s="69"/>
      <c r="E22" s="70"/>
      <c r="F22" s="139"/>
      <c r="G22" s="115"/>
      <c r="H22" s="115"/>
      <c r="I22" s="89"/>
      <c r="J22" s="71"/>
    </row>
    <row r="23" spans="1:10" s="1" customFormat="1" ht="15.75">
      <c r="A23" s="173" t="s">
        <v>57</v>
      </c>
      <c r="B23" s="24"/>
      <c r="C23" s="24"/>
      <c r="D23" s="24"/>
      <c r="E23" s="3"/>
      <c r="F23" s="14"/>
      <c r="G23" s="85"/>
      <c r="H23" s="85"/>
      <c r="I23" s="95"/>
      <c r="J23" s="5"/>
    </row>
    <row r="24" spans="1:10" s="1" customFormat="1" ht="15.75">
      <c r="A24" s="173" t="s">
        <v>58</v>
      </c>
      <c r="B24" s="24"/>
      <c r="C24" s="24"/>
      <c r="D24" s="24"/>
      <c r="E24" s="3"/>
      <c r="F24" s="14"/>
      <c r="G24" s="85"/>
      <c r="H24" s="85"/>
      <c r="I24" s="95"/>
      <c r="J24" s="5"/>
    </row>
    <row r="25" spans="1:10" s="1" customFormat="1" ht="15.75">
      <c r="A25" s="173" t="s">
        <v>59</v>
      </c>
      <c r="B25" s="24"/>
      <c r="C25" s="24"/>
      <c r="D25" s="24"/>
      <c r="E25" s="3"/>
      <c r="F25" s="14"/>
      <c r="G25" s="85"/>
      <c r="H25" s="85"/>
      <c r="I25" s="95"/>
      <c r="J25" s="5"/>
    </row>
    <row r="26" spans="1:10" s="1" customFormat="1" ht="15.75">
      <c r="A26" s="174" t="s">
        <v>624</v>
      </c>
      <c r="B26" s="24"/>
      <c r="C26" s="24" t="s">
        <v>287</v>
      </c>
      <c r="D26" s="24" t="s">
        <v>355</v>
      </c>
      <c r="E26" s="3">
        <v>2.34</v>
      </c>
      <c r="F26" s="14">
        <f>IF(D26="ag-01",0.12,IF(D26="ag-02",0.09,IF(D26="ar-03",12.03,IF(D26="ar-08",16,IF(D26="op-02",4.31,IF(D26="op-01",6.89,IF(D26="ld-02",0.18,IF(D26="ag-04",0.13))))))))</f>
        <v>0.12</v>
      </c>
      <c r="G26" s="25">
        <f>E26*F26</f>
        <v>0.2808</v>
      </c>
      <c r="I26" s="95">
        <f>SUM(G26:H30)</f>
        <v>11.037159999999998</v>
      </c>
      <c r="J26" s="5"/>
    </row>
    <row r="27" spans="1:10" s="1" customFormat="1" ht="15.75">
      <c r="A27" s="174" t="s">
        <v>843</v>
      </c>
      <c r="B27" s="24"/>
      <c r="C27" s="24" t="s">
        <v>287</v>
      </c>
      <c r="D27" s="24" t="s">
        <v>844</v>
      </c>
      <c r="E27" s="3">
        <v>4.88</v>
      </c>
      <c r="F27" s="14">
        <f>IF(D27="ag-01",0.12,IF(D27="ag-02",0.09,IF(D27="ar-03",12.03,IF(D27="ar-08",16,IF(D27="op-02",4.31,IF(D27="op-01",6.89,IF(D27="ld-02",0.18,IF(D27="ag-04",0.13))))))))</f>
        <v>0.13</v>
      </c>
      <c r="G27" s="25">
        <f>E27*F27</f>
        <v>0.6344</v>
      </c>
      <c r="I27" s="95"/>
      <c r="J27" s="5"/>
    </row>
    <row r="28" spans="1:10" s="1" customFormat="1" ht="15.75">
      <c r="A28" s="174" t="s">
        <v>559</v>
      </c>
      <c r="B28" s="24"/>
      <c r="C28" s="24" t="s">
        <v>357</v>
      </c>
      <c r="D28" s="24" t="s">
        <v>560</v>
      </c>
      <c r="E28" s="3">
        <v>0.032</v>
      </c>
      <c r="F28" s="14">
        <f>IF(D28="ag-01",0.12,IF(D28="ag-02",0.09,IF(D28="ar-03",12.03,IF(D28="ar-08",16,IF(D28="op-02",4.31,IF(D28="op-01",6.89,IF(D28="ld-02",0.18,IF(D28="ag-04",0.13))))))))</f>
        <v>12.03</v>
      </c>
      <c r="G28" s="25">
        <f>E28*F28</f>
        <v>0.38495999999999997</v>
      </c>
      <c r="I28" s="95"/>
      <c r="J28" s="5"/>
    </row>
    <row r="29" spans="1:10" s="1" customFormat="1" ht="15.75">
      <c r="A29" s="174" t="s">
        <v>289</v>
      </c>
      <c r="B29" s="24"/>
      <c r="C29" s="24" t="s">
        <v>228</v>
      </c>
      <c r="D29" s="24" t="s">
        <v>290</v>
      </c>
      <c r="E29" s="3">
        <v>1</v>
      </c>
      <c r="F29" s="14">
        <f>+C122</f>
        <v>6.89</v>
      </c>
      <c r="H29" s="25">
        <f>E29*F29</f>
        <v>6.89</v>
      </c>
      <c r="I29" s="95"/>
      <c r="J29" s="5"/>
    </row>
    <row r="30" spans="1:10" s="1" customFormat="1" ht="15.75">
      <c r="A30" s="174" t="s">
        <v>227</v>
      </c>
      <c r="B30" s="24"/>
      <c r="C30" s="24" t="s">
        <v>228</v>
      </c>
      <c r="D30" s="24" t="s">
        <v>229</v>
      </c>
      <c r="E30" s="3">
        <v>0.65</v>
      </c>
      <c r="F30" s="14">
        <f>+C123</f>
        <v>4.38</v>
      </c>
      <c r="H30" s="25">
        <f>E30*F30</f>
        <v>2.847</v>
      </c>
      <c r="I30" s="95"/>
      <c r="J30" s="5"/>
    </row>
    <row r="31" spans="1:10" ht="16.5" thickBot="1">
      <c r="A31" s="90"/>
      <c r="B31" s="72"/>
      <c r="C31" s="28"/>
      <c r="D31" s="28"/>
      <c r="E31" s="8"/>
      <c r="F31" s="73"/>
      <c r="G31" s="255">
        <f>SUM(G26:G28)</f>
        <v>1.30016</v>
      </c>
      <c r="H31" s="252">
        <f>SUM(H29:H30)</f>
        <v>9.737</v>
      </c>
      <c r="I31" s="88"/>
      <c r="J31" s="11"/>
    </row>
    <row r="32" spans="1:10" ht="16.5" thickTop="1">
      <c r="A32" s="168">
        <v>16.4</v>
      </c>
      <c r="B32" s="113"/>
      <c r="C32" s="69"/>
      <c r="D32" s="69"/>
      <c r="E32" s="70"/>
      <c r="F32" s="139"/>
      <c r="G32" s="115"/>
      <c r="H32" s="115"/>
      <c r="I32" s="89"/>
      <c r="J32" s="71"/>
    </row>
    <row r="33" spans="1:10" s="1" customFormat="1" ht="15.75">
      <c r="A33" s="173" t="s">
        <v>60</v>
      </c>
      <c r="B33" s="24"/>
      <c r="C33" s="24"/>
      <c r="D33" s="24"/>
      <c r="E33" s="3"/>
      <c r="F33" s="14"/>
      <c r="G33" s="85"/>
      <c r="H33" s="85"/>
      <c r="I33" s="95"/>
      <c r="J33" s="5"/>
    </row>
    <row r="34" spans="1:10" s="1" customFormat="1" ht="15.75">
      <c r="A34" s="173" t="s">
        <v>61</v>
      </c>
      <c r="B34" s="24"/>
      <c r="C34" s="24"/>
      <c r="D34" s="24"/>
      <c r="E34" s="3"/>
      <c r="F34" s="14"/>
      <c r="G34" s="85"/>
      <c r="H34" s="85"/>
      <c r="I34" s="95"/>
      <c r="J34" s="5"/>
    </row>
    <row r="35" spans="1:10" s="1" customFormat="1" ht="15.75">
      <c r="A35" s="174" t="s">
        <v>624</v>
      </c>
      <c r="B35" s="24"/>
      <c r="C35" s="24" t="s">
        <v>287</v>
      </c>
      <c r="D35" s="24" t="s">
        <v>355</v>
      </c>
      <c r="E35" s="3">
        <v>5.39</v>
      </c>
      <c r="F35" s="14">
        <f>IF(D35="ag-01",0.12,IF(D35="ag-02",0.09,IF(D35="ar-03",12.03,IF(D35="ar-08",16,IF(D35="op-02",4.31,IF(D35="op-01",6.89,IF(D35="ld-02",0.18,IF(D35="ag-04",0.13))))))))</f>
        <v>0.12</v>
      </c>
      <c r="G35" s="25">
        <f>E35*F35</f>
        <v>0.6467999999999999</v>
      </c>
      <c r="I35" s="95">
        <f>SUM(G35:H39)</f>
        <v>9.11778</v>
      </c>
      <c r="J35" s="5"/>
    </row>
    <row r="36" spans="1:10" s="1" customFormat="1" ht="15.75">
      <c r="A36" s="174" t="s">
        <v>843</v>
      </c>
      <c r="B36" s="24"/>
      <c r="C36" s="24" t="s">
        <v>287</v>
      </c>
      <c r="D36" s="24" t="s">
        <v>844</v>
      </c>
      <c r="E36" s="3">
        <v>5.48</v>
      </c>
      <c r="F36" s="14">
        <f>IF(D36="ag-01",0.12,IF(D36="ag-02",0.09,IF(D36="ar-03",12.03,IF(D36="ar-08",16,IF(D36="op-02",4.31,IF(D36="op-01",6.89,IF(D36="ld-02",0.18,IF(D36="ag-04",0.13))))))))</f>
        <v>0.13</v>
      </c>
      <c r="G36" s="25">
        <f>E36*F36</f>
        <v>0.7124</v>
      </c>
      <c r="I36" s="95"/>
      <c r="J36" s="5"/>
    </row>
    <row r="37" spans="1:10" s="1" customFormat="1" ht="15.75">
      <c r="A37" s="174" t="s">
        <v>559</v>
      </c>
      <c r="B37" s="24"/>
      <c r="C37" s="24" t="s">
        <v>357</v>
      </c>
      <c r="D37" s="24" t="s">
        <v>560</v>
      </c>
      <c r="E37" s="3">
        <v>0.036</v>
      </c>
      <c r="F37" s="14">
        <f>IF(D37="ag-01",0.12,IF(D37="ag-02",0.09,IF(D37="ar-03",12.03,IF(D37="ar-08",16,IF(D37="op-02",4.31,IF(D37="op-01",6.89,IF(D37="ld-02",0.18,IF(D37="ag-04",0.13))))))))</f>
        <v>12.03</v>
      </c>
      <c r="G37" s="25">
        <f>E37*F37</f>
        <v>0.43307999999999996</v>
      </c>
      <c r="I37" s="95"/>
      <c r="J37" s="5"/>
    </row>
    <row r="38" spans="1:10" s="1" customFormat="1" ht="15.75">
      <c r="A38" s="174" t="s">
        <v>289</v>
      </c>
      <c r="B38" s="24"/>
      <c r="C38" s="24" t="s">
        <v>228</v>
      </c>
      <c r="D38" s="24" t="s">
        <v>290</v>
      </c>
      <c r="E38" s="3">
        <v>0.65</v>
      </c>
      <c r="F38" s="14">
        <f>+C122</f>
        <v>6.89</v>
      </c>
      <c r="H38" s="25">
        <f>E38*F38</f>
        <v>4.4785</v>
      </c>
      <c r="I38" s="95"/>
      <c r="J38" s="5"/>
    </row>
    <row r="39" spans="1:10" s="1" customFormat="1" ht="15.75">
      <c r="A39" s="174" t="s">
        <v>227</v>
      </c>
      <c r="B39" s="24"/>
      <c r="C39" s="24" t="s">
        <v>228</v>
      </c>
      <c r="D39" s="24" t="s">
        <v>229</v>
      </c>
      <c r="E39" s="3">
        <v>0.65</v>
      </c>
      <c r="F39" s="14">
        <f>+C123</f>
        <v>4.38</v>
      </c>
      <c r="H39" s="25">
        <f>E39*F39</f>
        <v>2.847</v>
      </c>
      <c r="I39" s="95"/>
      <c r="J39" s="5"/>
    </row>
    <row r="40" spans="1:10" ht="16.5" thickBot="1">
      <c r="A40" s="90"/>
      <c r="B40" s="72"/>
      <c r="C40" s="28"/>
      <c r="D40" s="28"/>
      <c r="E40" s="8"/>
      <c r="F40" s="73"/>
      <c r="G40" s="252">
        <f>SUM(G35:G37)</f>
        <v>1.7922799999999999</v>
      </c>
      <c r="H40" s="67">
        <f>SUM(H38:H39)</f>
        <v>7.3255</v>
      </c>
      <c r="I40" s="88"/>
      <c r="J40" s="11"/>
    </row>
    <row r="41" spans="1:10" ht="16.5" thickTop="1">
      <c r="A41" s="168">
        <v>16.5</v>
      </c>
      <c r="B41" s="113"/>
      <c r="C41" s="69"/>
      <c r="D41" s="69"/>
      <c r="E41" s="70"/>
      <c r="F41" s="139"/>
      <c r="G41" s="115"/>
      <c r="H41" s="115"/>
      <c r="I41" s="89"/>
      <c r="J41" s="71"/>
    </row>
    <row r="42" spans="1:10" s="1" customFormat="1" ht="15.75">
      <c r="A42" s="173" t="s">
        <v>62</v>
      </c>
      <c r="B42" s="24"/>
      <c r="C42" s="24"/>
      <c r="D42" s="24"/>
      <c r="E42" s="3"/>
      <c r="F42" s="14"/>
      <c r="G42" s="85"/>
      <c r="H42" s="85"/>
      <c r="I42" s="95"/>
      <c r="J42" s="5"/>
    </row>
    <row r="43" spans="1:10" s="1" customFormat="1" ht="15.75">
      <c r="A43" s="173" t="s">
        <v>63</v>
      </c>
      <c r="B43" s="24"/>
      <c r="C43" s="24"/>
      <c r="D43" s="24"/>
      <c r="E43" s="3"/>
      <c r="F43" s="14"/>
      <c r="G43" s="85"/>
      <c r="H43" s="85"/>
      <c r="I43" s="95"/>
      <c r="J43" s="5"/>
    </row>
    <row r="44" spans="1:10" s="1" customFormat="1" ht="15.75">
      <c r="A44" s="173" t="s">
        <v>64</v>
      </c>
      <c r="B44" s="24"/>
      <c r="C44" s="24" t="s">
        <v>287</v>
      </c>
      <c r="D44" s="24" t="s">
        <v>355</v>
      </c>
      <c r="E44" s="3">
        <v>5.37</v>
      </c>
      <c r="F44" s="14">
        <f>IF(D44="ag-01",0.12,IF(D44="ag-02",0.09,IF(D44="ar-03",12.03,IF(D44="ar-08",16,IF(D44="op-02",4.31,IF(D44="op-01",6.89,IF(D44="ld-02",0.18,IF(D44="ag-04",0.13))))))))</f>
        <v>0.12</v>
      </c>
      <c r="G44" s="25">
        <f>E44*F44</f>
        <v>0.6444</v>
      </c>
      <c r="I44" s="95">
        <f>SUM(G44:H48)</f>
        <v>12.03659</v>
      </c>
      <c r="J44" s="5"/>
    </row>
    <row r="45" spans="1:10" s="1" customFormat="1" ht="15.75">
      <c r="A45" s="174" t="s">
        <v>843</v>
      </c>
      <c r="B45" s="24"/>
      <c r="C45" s="24" t="s">
        <v>287</v>
      </c>
      <c r="D45" s="24" t="s">
        <v>844</v>
      </c>
      <c r="E45" s="3">
        <v>5.63</v>
      </c>
      <c r="F45" s="14">
        <f>IF(D45="ag-01",0.12,IF(D45="ag-02",0.09,IF(D45="ar-03",12.03,IF(D45="ar-08",16,IF(D45="op-02",4.31,IF(D45="op-01",6.89,IF(D45="ld-02",0.18,IF(D45="ag-04",0.13))))))))</f>
        <v>0.13</v>
      </c>
      <c r="G45" s="25">
        <f>E45*F45</f>
        <v>0.7319</v>
      </c>
      <c r="I45" s="95"/>
      <c r="J45" s="5"/>
    </row>
    <row r="46" spans="1:10" s="1" customFormat="1" ht="15.75">
      <c r="A46" s="174" t="s">
        <v>559</v>
      </c>
      <c r="B46" s="24"/>
      <c r="C46" s="24" t="s">
        <v>357</v>
      </c>
      <c r="D46" s="24" t="s">
        <v>560</v>
      </c>
      <c r="E46" s="3">
        <v>0.043</v>
      </c>
      <c r="F46" s="14">
        <f>IF(D46="ag-01",0.12,IF(D46="ag-02",0.09,IF(D46="ar-03",12.03,IF(D46="ar-08",16,IF(D46="op-02",4.31,IF(D46="op-01",6.89,IF(D46="ld-02",0.18,IF(D46="ag-04",0.13))))))))</f>
        <v>12.03</v>
      </c>
      <c r="G46" s="25">
        <f>E46*F46</f>
        <v>0.5172899999999999</v>
      </c>
      <c r="I46" s="95"/>
      <c r="J46" s="5"/>
    </row>
    <row r="47" spans="1:10" s="1" customFormat="1" ht="15.75">
      <c r="A47" s="174" t="s">
        <v>289</v>
      </c>
      <c r="B47" s="24"/>
      <c r="C47" s="24" t="s">
        <v>228</v>
      </c>
      <c r="D47" s="24" t="s">
        <v>290</v>
      </c>
      <c r="E47" s="3">
        <v>0.9</v>
      </c>
      <c r="F47" s="14">
        <f>+C122</f>
        <v>6.89</v>
      </c>
      <c r="H47" s="25">
        <f>E47*F47</f>
        <v>6.201</v>
      </c>
      <c r="I47" s="95"/>
      <c r="J47" s="5"/>
    </row>
    <row r="48" spans="1:10" s="1" customFormat="1" ht="15.75">
      <c r="A48" s="174" t="s">
        <v>227</v>
      </c>
      <c r="B48" s="24"/>
      <c r="C48" s="24" t="s">
        <v>228</v>
      </c>
      <c r="D48" s="24" t="s">
        <v>229</v>
      </c>
      <c r="E48" s="3">
        <v>0.9</v>
      </c>
      <c r="F48" s="14">
        <f>+C123</f>
        <v>4.38</v>
      </c>
      <c r="H48" s="25">
        <f>E48*F48</f>
        <v>3.942</v>
      </c>
      <c r="I48" s="95"/>
      <c r="J48" s="5"/>
    </row>
    <row r="49" spans="1:10" ht="16.5" thickBot="1">
      <c r="A49" s="90"/>
      <c r="B49" s="72"/>
      <c r="C49" s="28"/>
      <c r="D49" s="28"/>
      <c r="E49" s="8"/>
      <c r="F49" s="73"/>
      <c r="G49" s="252">
        <f>SUM(G44:G46)</f>
        <v>1.89359</v>
      </c>
      <c r="H49" s="67">
        <f>SUM(H47:H48)</f>
        <v>10.143</v>
      </c>
      <c r="I49" s="88"/>
      <c r="J49" s="11"/>
    </row>
    <row r="50" spans="1:10" ht="16.5" thickTop="1">
      <c r="A50" s="178">
        <v>16.6</v>
      </c>
      <c r="B50" s="113"/>
      <c r="C50" s="69"/>
      <c r="D50" s="69"/>
      <c r="E50" s="70"/>
      <c r="F50" s="139"/>
      <c r="G50" s="83"/>
      <c r="H50" s="83"/>
      <c r="I50" s="89"/>
      <c r="J50" s="71"/>
    </row>
    <row r="51" spans="1:10" s="1" customFormat="1" ht="15.75">
      <c r="A51" s="173" t="s">
        <v>65</v>
      </c>
      <c r="B51" s="24"/>
      <c r="C51" s="24"/>
      <c r="D51" s="24"/>
      <c r="E51" s="3"/>
      <c r="F51" s="14"/>
      <c r="G51" s="85"/>
      <c r="H51" s="85"/>
      <c r="I51" s="95"/>
      <c r="J51" s="5"/>
    </row>
    <row r="52" spans="1:10" s="1" customFormat="1" ht="15.75">
      <c r="A52" s="173" t="s">
        <v>66</v>
      </c>
      <c r="B52" s="24"/>
      <c r="C52" s="24"/>
      <c r="D52" s="24"/>
      <c r="E52" s="3"/>
      <c r="F52" s="14"/>
      <c r="G52" s="85"/>
      <c r="H52" s="85"/>
      <c r="I52" s="95"/>
      <c r="J52" s="5"/>
    </row>
    <row r="53" spans="1:10" s="1" customFormat="1" ht="15.75">
      <c r="A53" s="172" t="s">
        <v>67</v>
      </c>
      <c r="B53" s="24" t="s">
        <v>387</v>
      </c>
      <c r="C53" s="24" t="s">
        <v>287</v>
      </c>
      <c r="D53" s="24" t="s">
        <v>355</v>
      </c>
      <c r="E53" s="3">
        <v>2.34</v>
      </c>
      <c r="F53" s="14">
        <f>IF(D53="ag-01",0.12,IF(D53="ag-02",0.09,IF(D53="ar-03",12.03,IF(D53="pd-07",0.94,IF(D53="op-02",4.31,IF(D53="op-01",6.89,IF(D53="ld-02",0.18,IF(D53="ag-04",0.13))))))))</f>
        <v>0.12</v>
      </c>
      <c r="G53" s="25">
        <f>E53*F53</f>
        <v>0.2808</v>
      </c>
      <c r="H53" s="85"/>
      <c r="I53" s="95">
        <f>SUM(G59,H59)</f>
        <v>13.24786</v>
      </c>
      <c r="J53" s="5"/>
    </row>
    <row r="54" spans="1:10" s="1" customFormat="1" ht="15.75">
      <c r="A54" s="174" t="s">
        <v>843</v>
      </c>
      <c r="B54" s="24"/>
      <c r="C54" s="24" t="s">
        <v>287</v>
      </c>
      <c r="D54" s="24" t="s">
        <v>844</v>
      </c>
      <c r="E54" s="3">
        <v>4.88</v>
      </c>
      <c r="F54" s="14">
        <f>IF(D54="ag-01",0.12,IF(D54="ag-02",0.09,IF(D54="ar-03",12.03,IF(D54="pd-07",0.94,IF(D54="op-02",4.31,IF(D54="op-01",6.89,IF(D54="ld-02",0.18,IF(D54="ag-04",0.13))))))))</f>
        <v>0.13</v>
      </c>
      <c r="G54" s="25">
        <f>E54*F54</f>
        <v>0.6344</v>
      </c>
      <c r="I54" s="95"/>
      <c r="J54" s="5"/>
    </row>
    <row r="55" spans="1:10" s="1" customFormat="1" ht="15.75">
      <c r="A55" s="174" t="s">
        <v>559</v>
      </c>
      <c r="B55" s="24"/>
      <c r="C55" s="24" t="s">
        <v>357</v>
      </c>
      <c r="D55" s="24" t="s">
        <v>560</v>
      </c>
      <c r="E55" s="3">
        <v>0.032</v>
      </c>
      <c r="F55" s="14">
        <f>IF(D55="ag-01",0.12,IF(D55="ag-02",0.09,IF(D55="ar-03",12.03,IF(D55="pd-07",0.94,IF(D55="op-02",4.31,IF(D55="op-01",6.89,IF(D55="ld-02",0.18,IF(D55="ag-04",0.13))))))))</f>
        <v>12.03</v>
      </c>
      <c r="G55" s="25">
        <f>E55*F55</f>
        <v>0.38495999999999997</v>
      </c>
      <c r="I55" s="95"/>
      <c r="J55" s="5"/>
    </row>
    <row r="56" spans="1:10" s="1" customFormat="1" ht="15.75">
      <c r="A56" s="174" t="s">
        <v>68</v>
      </c>
      <c r="B56" s="24"/>
      <c r="C56" s="24" t="s">
        <v>287</v>
      </c>
      <c r="D56" s="24" t="s">
        <v>69</v>
      </c>
      <c r="E56" s="3">
        <v>0.4</v>
      </c>
      <c r="F56" s="14">
        <f>IF(D56="ag-01",0.12,IF(D56="ag-02",0.09,IF(D56="ar-03",12.03,IF(D56="pd-07",0.94,IF(D56="op-02",4.31,IF(D56="op-01",6.89,IF(D56="ld-02",0.18,IF(D56="ag-04",0.13))))))))</f>
        <v>0.94</v>
      </c>
      <c r="G56" s="25">
        <f>E56*F56</f>
        <v>0.376</v>
      </c>
      <c r="I56" s="95"/>
      <c r="J56" s="5"/>
    </row>
    <row r="57" spans="1:10" s="1" customFormat="1" ht="15.75">
      <c r="A57" s="174" t="s">
        <v>289</v>
      </c>
      <c r="B57" s="24"/>
      <c r="C57" s="24" t="s">
        <v>228</v>
      </c>
      <c r="D57" s="24" t="s">
        <v>290</v>
      </c>
      <c r="E57" s="3">
        <v>1.19</v>
      </c>
      <c r="F57" s="14">
        <f>+C122</f>
        <v>6.89</v>
      </c>
      <c r="H57" s="25">
        <f>E57*F57</f>
        <v>8.1991</v>
      </c>
      <c r="I57" s="95"/>
      <c r="J57" s="5"/>
    </row>
    <row r="58" spans="1:10" s="1" customFormat="1" ht="15.75">
      <c r="A58" s="174" t="s">
        <v>227</v>
      </c>
      <c r="B58" s="24"/>
      <c r="C58" s="24" t="s">
        <v>228</v>
      </c>
      <c r="D58" s="24" t="s">
        <v>229</v>
      </c>
      <c r="E58" s="3">
        <v>0.77</v>
      </c>
      <c r="F58" s="14">
        <f>+C123</f>
        <v>4.38</v>
      </c>
      <c r="H58" s="25">
        <f>E58*F58</f>
        <v>3.3726</v>
      </c>
      <c r="I58" s="95"/>
      <c r="J58" s="5"/>
    </row>
    <row r="59" spans="1:10" s="1" customFormat="1" ht="15.75">
      <c r="A59" s="174"/>
      <c r="B59" s="24"/>
      <c r="C59" s="24"/>
      <c r="D59" s="24"/>
      <c r="E59" s="3"/>
      <c r="F59" s="14"/>
      <c r="G59" s="258">
        <f>SUM(G53:G56)</f>
        <v>1.6761599999999999</v>
      </c>
      <c r="H59" s="211">
        <f>SUM(H57:H58)</f>
        <v>11.5717</v>
      </c>
      <c r="I59" s="95"/>
      <c r="J59" s="5"/>
    </row>
    <row r="60" spans="1:10" s="1" customFormat="1" ht="15.75">
      <c r="A60" s="172" t="s">
        <v>70</v>
      </c>
      <c r="B60" s="24" t="s">
        <v>389</v>
      </c>
      <c r="C60" s="24" t="s">
        <v>287</v>
      </c>
      <c r="D60" s="24" t="s">
        <v>355</v>
      </c>
      <c r="E60" s="3">
        <v>2.34</v>
      </c>
      <c r="F60" s="14">
        <f>IF(D60="ag-01",0.12,IF(D60="ag-02",0.09,IF(D60="ar-03",12.03,IF(D60="pd-07",0.94,IF(D60="op-02",4.31,IF(D60="op-01",6.89,IF(D60="ld-02",0.18,IF(D60="ag-04",0.13))))))))</f>
        <v>0.12</v>
      </c>
      <c r="G60" s="25">
        <f>E60*F60</f>
        <v>0.2808</v>
      </c>
      <c r="I60" s="95">
        <f>SUM(G66,H66)</f>
        <v>10.937259999999998</v>
      </c>
      <c r="J60" s="5"/>
    </row>
    <row r="61" spans="1:10" s="1" customFormat="1" ht="15.75">
      <c r="A61" s="174" t="s">
        <v>843</v>
      </c>
      <c r="B61" s="24"/>
      <c r="C61" s="24" t="s">
        <v>287</v>
      </c>
      <c r="D61" s="24" t="s">
        <v>844</v>
      </c>
      <c r="E61" s="3">
        <v>4.88</v>
      </c>
      <c r="F61" s="14">
        <f>IF(D61="ag-01",0.12,IF(D61="ag-02",0.09,IF(D61="ar-03",12.03,IF(D61="pd-07",0.94,IF(D61="op-02",4.31,IF(D61="op-01",6.89,IF(D61="ld-02",0.18,IF(D61="ag-04",0.13))))))))</f>
        <v>0.13</v>
      </c>
      <c r="G61" s="25">
        <f>E61*F61</f>
        <v>0.6344</v>
      </c>
      <c r="I61" s="95"/>
      <c r="J61" s="5"/>
    </row>
    <row r="62" spans="1:10" s="1" customFormat="1" ht="15.75">
      <c r="A62" s="174" t="s">
        <v>559</v>
      </c>
      <c r="B62" s="24"/>
      <c r="C62" s="24" t="s">
        <v>357</v>
      </c>
      <c r="D62" s="24" t="s">
        <v>560</v>
      </c>
      <c r="E62" s="3">
        <v>0.032</v>
      </c>
      <c r="F62" s="14">
        <f>IF(D62="ag-01",0.12,IF(D62="ag-02",0.09,IF(D62="ar-03",12.03,IF(D62="pd-07",0.94,IF(D62="op-02",4.31,IF(D62="op-01",6.89,IF(D62="ld-02",0.18,IF(D62="ag-04",0.13))))))))</f>
        <v>12.03</v>
      </c>
      <c r="G62" s="25">
        <f>E62*F62</f>
        <v>0.38495999999999997</v>
      </c>
      <c r="I62" s="95"/>
      <c r="J62" s="5"/>
    </row>
    <row r="63" spans="1:10" s="1" customFormat="1" ht="15.75">
      <c r="A63" s="174" t="s">
        <v>68</v>
      </c>
      <c r="B63" s="24"/>
      <c r="C63" s="24" t="s">
        <v>287</v>
      </c>
      <c r="D63" s="24" t="s">
        <v>69</v>
      </c>
      <c r="E63" s="3">
        <v>0.4</v>
      </c>
      <c r="F63" s="14">
        <f>IF(D63="ag-01",0.12,IF(D63="ag-02",0.09,IF(D63="ar-03",12.03,IF(D63="pd-07",0.94,IF(D63="op-02",4.31,IF(D63="op-01",6.89,IF(D63="ld-02",0.18,IF(D63="ag-04",0.13))))))))</f>
        <v>0.94</v>
      </c>
      <c r="G63" s="25">
        <f>E63*F63</f>
        <v>0.376</v>
      </c>
      <c r="I63" s="95"/>
      <c r="J63" s="5"/>
    </row>
    <row r="64" spans="1:10" s="1" customFormat="1" ht="15.75">
      <c r="A64" s="174" t="s">
        <v>289</v>
      </c>
      <c r="B64" s="24"/>
      <c r="C64" s="24" t="s">
        <v>228</v>
      </c>
      <c r="D64" s="24" t="s">
        <v>290</v>
      </c>
      <c r="E64" s="3">
        <v>0.95</v>
      </c>
      <c r="F64" s="14">
        <f>+C122</f>
        <v>6.89</v>
      </c>
      <c r="H64" s="25">
        <f>E64*F64</f>
        <v>6.5455</v>
      </c>
      <c r="I64" s="95"/>
      <c r="J64" s="5"/>
    </row>
    <row r="65" spans="1:10" s="1" customFormat="1" ht="15.75">
      <c r="A65" s="174" t="s">
        <v>227</v>
      </c>
      <c r="B65" s="24"/>
      <c r="C65" s="24" t="s">
        <v>228</v>
      </c>
      <c r="D65" s="24" t="s">
        <v>229</v>
      </c>
      <c r="E65" s="3">
        <v>0.62</v>
      </c>
      <c r="F65" s="14">
        <f>+C123</f>
        <v>4.38</v>
      </c>
      <c r="H65" s="25">
        <f>E65*F65</f>
        <v>2.7156</v>
      </c>
      <c r="I65" s="95"/>
      <c r="J65" s="5"/>
    </row>
    <row r="66" spans="1:10" s="108" customFormat="1" ht="16.5" thickBot="1">
      <c r="A66" s="90"/>
      <c r="B66" s="28"/>
      <c r="C66" s="28"/>
      <c r="D66" s="28"/>
      <c r="E66" s="8"/>
      <c r="F66" s="10"/>
      <c r="G66" s="259">
        <f>SUM(G60:G63)</f>
        <v>1.6761599999999999</v>
      </c>
      <c r="H66" s="259">
        <f>SUM(H64:H65)</f>
        <v>9.261099999999999</v>
      </c>
      <c r="I66" s="88"/>
      <c r="J66" s="11"/>
    </row>
    <row r="67" spans="1:10" ht="16.5" thickTop="1">
      <c r="A67" s="178">
        <v>16.7</v>
      </c>
      <c r="B67" s="69"/>
      <c r="C67" s="69"/>
      <c r="D67" s="69"/>
      <c r="E67" s="70"/>
      <c r="F67" s="84"/>
      <c r="G67" s="202"/>
      <c r="H67" s="202"/>
      <c r="I67" s="89"/>
      <c r="J67" s="71"/>
    </row>
    <row r="68" spans="1:10" s="1" customFormat="1" ht="15.75">
      <c r="A68" s="173" t="s">
        <v>71</v>
      </c>
      <c r="B68" s="24"/>
      <c r="C68" s="24"/>
      <c r="D68" s="24"/>
      <c r="E68" s="3"/>
      <c r="F68" s="14"/>
      <c r="G68" s="76"/>
      <c r="H68" s="76"/>
      <c r="I68" s="95"/>
      <c r="J68" s="5"/>
    </row>
    <row r="69" spans="1:10" s="1" customFormat="1" ht="15.75">
      <c r="A69" s="173" t="s">
        <v>72</v>
      </c>
      <c r="B69" s="24"/>
      <c r="C69" s="24"/>
      <c r="D69" s="24"/>
      <c r="E69" s="3"/>
      <c r="F69" s="14"/>
      <c r="G69" s="76"/>
      <c r="H69" s="76"/>
      <c r="I69" s="95"/>
      <c r="J69" s="5"/>
    </row>
    <row r="70" spans="1:10" s="1" customFormat="1" ht="15.75">
      <c r="A70" s="172" t="s">
        <v>999</v>
      </c>
      <c r="B70" s="24"/>
      <c r="C70" s="24" t="s">
        <v>287</v>
      </c>
      <c r="D70" s="24" t="s">
        <v>355</v>
      </c>
      <c r="E70" s="3">
        <v>1.78</v>
      </c>
      <c r="F70" s="14">
        <f>IF(D70="ag-01",0.12,IF(D70="ag-02",0.09,IF(D70="ar-03",12.03,IF(D70="pd-07",0.94,IF(D70="op-02",4.31,IF(D70="op-01",6.89,IF(D70="ld-02",0.18,IF(D70="ag-04",0.13))))))))</f>
        <v>0.12</v>
      </c>
      <c r="G70" s="25">
        <f>E70*F70</f>
        <v>0.21359999999999998</v>
      </c>
      <c r="I70" s="95">
        <f>SUM(G70:H74)</f>
        <v>4.970219999999999</v>
      </c>
      <c r="J70" s="5"/>
    </row>
    <row r="71" spans="1:10" s="1" customFormat="1" ht="15.75">
      <c r="A71" s="174" t="s">
        <v>557</v>
      </c>
      <c r="B71" s="24"/>
      <c r="C71" s="24" t="s">
        <v>287</v>
      </c>
      <c r="D71" s="24" t="s">
        <v>377</v>
      </c>
      <c r="E71" s="3">
        <v>4</v>
      </c>
      <c r="F71" s="14">
        <f>IF(D71="ag-01",0.12,IF(D71="ag-02",0.09,IF(D71="ar-03",12.03,IF(D71="pd-07",0.94,IF(D71="op-02",4.31,IF(D71="op-01",6.89,IF(D71="ld-02",0.18,IF(D71="ag-04",0.13))))))))</f>
        <v>0.09</v>
      </c>
      <c r="G71" s="25">
        <f>E71*F71</f>
        <v>0.36</v>
      </c>
      <c r="I71" s="95"/>
      <c r="J71" s="5"/>
    </row>
    <row r="72" spans="1:10" s="1" customFormat="1" ht="15.75">
      <c r="A72" s="174" t="s">
        <v>559</v>
      </c>
      <c r="B72" s="24"/>
      <c r="C72" s="24" t="s">
        <v>357</v>
      </c>
      <c r="D72" s="24" t="s">
        <v>560</v>
      </c>
      <c r="E72" s="3">
        <v>0.024</v>
      </c>
      <c r="F72" s="14">
        <f>IF(D72="ag-01",0.12,IF(D72="ag-02",0.09,IF(D72="ar-03",12.03,IF(D72="pd-07",0.94,IF(D72="op-02",4.31,IF(D72="op-01",6.89,IF(D72="ld-02",0.18,IF(D72="ag-04",0.13))))))))</f>
        <v>12.03</v>
      </c>
      <c r="G72" s="25">
        <f>E72*F72</f>
        <v>0.28872</v>
      </c>
      <c r="I72" s="95"/>
      <c r="J72" s="5"/>
    </row>
    <row r="73" spans="1:10" s="1" customFormat="1" ht="15.75">
      <c r="A73" s="174" t="s">
        <v>289</v>
      </c>
      <c r="B73" s="24"/>
      <c r="C73" s="24" t="s">
        <v>228</v>
      </c>
      <c r="D73" s="24" t="s">
        <v>290</v>
      </c>
      <c r="E73" s="3">
        <v>0.45</v>
      </c>
      <c r="F73" s="14">
        <f>+C122</f>
        <v>6.89</v>
      </c>
      <c r="H73" s="25">
        <f>E73*F73</f>
        <v>3.1005</v>
      </c>
      <c r="I73" s="95"/>
      <c r="J73" s="5"/>
    </row>
    <row r="74" spans="1:10" s="1" customFormat="1" ht="15.75">
      <c r="A74" s="174" t="s">
        <v>227</v>
      </c>
      <c r="B74" s="24"/>
      <c r="C74" s="24" t="s">
        <v>228</v>
      </c>
      <c r="D74" s="24" t="s">
        <v>229</v>
      </c>
      <c r="E74" s="3">
        <v>0.23</v>
      </c>
      <c r="F74" s="14">
        <f>+C123</f>
        <v>4.38</v>
      </c>
      <c r="H74" s="25">
        <f>E74*F74</f>
        <v>1.0074</v>
      </c>
      <c r="I74" s="95"/>
      <c r="J74" s="5"/>
    </row>
    <row r="75" spans="1:10" ht="16.5" thickBot="1">
      <c r="A75" s="90"/>
      <c r="B75" s="72"/>
      <c r="C75" s="28"/>
      <c r="D75" s="28"/>
      <c r="E75" s="8"/>
      <c r="F75" s="73"/>
      <c r="G75" s="252">
        <f>SUM(G70:G72)</f>
        <v>0.86232</v>
      </c>
      <c r="H75" s="252">
        <f>SUM(H73:H74)</f>
        <v>4.1079</v>
      </c>
      <c r="I75" s="88"/>
      <c r="J75" s="11"/>
    </row>
    <row r="76" spans="1:10" ht="16.5" thickTop="1">
      <c r="A76" s="168">
        <v>16.8</v>
      </c>
      <c r="B76" s="113"/>
      <c r="C76" s="69"/>
      <c r="D76" s="69"/>
      <c r="E76" s="70"/>
      <c r="F76" s="139"/>
      <c r="G76" s="115"/>
      <c r="H76" s="115"/>
      <c r="I76" s="89"/>
      <c r="J76" s="71"/>
    </row>
    <row r="77" spans="1:10" s="1" customFormat="1" ht="15.75">
      <c r="A77" s="173" t="s">
        <v>73</v>
      </c>
      <c r="B77" s="24"/>
      <c r="C77" s="24"/>
      <c r="D77" s="24"/>
      <c r="E77" s="3"/>
      <c r="F77" s="14"/>
      <c r="G77" s="85"/>
      <c r="H77" s="85"/>
      <c r="I77" s="95"/>
      <c r="J77" s="5"/>
    </row>
    <row r="78" spans="1:10" s="1" customFormat="1" ht="15.75">
      <c r="A78" s="173" t="s">
        <v>74</v>
      </c>
      <c r="B78" s="24"/>
      <c r="C78" s="24"/>
      <c r="D78" s="24"/>
      <c r="E78" s="3"/>
      <c r="F78" s="14"/>
      <c r="G78" s="85"/>
      <c r="H78" s="85"/>
      <c r="I78" s="95"/>
      <c r="J78" s="5"/>
    </row>
    <row r="79" spans="1:10" s="1" customFormat="1" ht="15.75">
      <c r="A79" s="174" t="s">
        <v>75</v>
      </c>
      <c r="B79" s="24"/>
      <c r="C79" s="24" t="s">
        <v>287</v>
      </c>
      <c r="D79" s="24" t="s">
        <v>76</v>
      </c>
      <c r="E79" s="3">
        <v>3</v>
      </c>
      <c r="F79" s="14">
        <f>IF(D79="ag-01",0.12,IF(D79="ag-02",0.09,IF(D79="ar-03",12.03,IF(D79="pd-07",0.94,IF(D79="op-02",4.31,IF(D79="op-01",6.89,IF(D79="ar-08",16,IF(D79="pd-08",0.37))))))))</f>
        <v>0.37</v>
      </c>
      <c r="G79" s="25">
        <f>E79*F79</f>
        <v>1.1099999999999999</v>
      </c>
      <c r="I79" s="95">
        <f>SUM(G79:H82)</f>
        <v>8.3868</v>
      </c>
      <c r="J79" s="5"/>
    </row>
    <row r="80" spans="1:10" s="1" customFormat="1" ht="15.75">
      <c r="A80" s="174" t="s">
        <v>68</v>
      </c>
      <c r="B80" s="24"/>
      <c r="C80" s="24" t="s">
        <v>287</v>
      </c>
      <c r="D80" s="24" t="s">
        <v>69</v>
      </c>
      <c r="E80" s="3">
        <v>0.4</v>
      </c>
      <c r="F80" s="14">
        <f>IF(D80="ag-01",0.12,IF(D80="ag-02",0.09,IF(D80="ar-03",12.03,IF(D80="pd-07",0.94,IF(D80="op-02",4.31,IF(D80="op-01",6.89,IF(D80="ar-08",16,IF(D80="pd-08",0.37))))))))</f>
        <v>0.94</v>
      </c>
      <c r="G80" s="25">
        <f>E80*F80</f>
        <v>0.376</v>
      </c>
      <c r="I80" s="95"/>
      <c r="J80" s="5"/>
    </row>
    <row r="81" spans="1:10" s="1" customFormat="1" ht="15.75">
      <c r="A81" s="174" t="s">
        <v>289</v>
      </c>
      <c r="B81" s="24"/>
      <c r="C81" s="24" t="s">
        <v>228</v>
      </c>
      <c r="D81" s="24" t="s">
        <v>290</v>
      </c>
      <c r="E81" s="3">
        <v>0.76</v>
      </c>
      <c r="F81" s="14">
        <f>+C122</f>
        <v>6.89</v>
      </c>
      <c r="H81" s="25">
        <f>E81*F81</f>
        <v>5.2364</v>
      </c>
      <c r="I81" s="95"/>
      <c r="J81" s="5"/>
    </row>
    <row r="82" spans="1:10" s="1" customFormat="1" ht="15.75">
      <c r="A82" s="174" t="s">
        <v>227</v>
      </c>
      <c r="B82" s="24"/>
      <c r="C82" s="24" t="s">
        <v>228</v>
      </c>
      <c r="D82" s="24" t="s">
        <v>229</v>
      </c>
      <c r="E82" s="3">
        <v>0.38</v>
      </c>
      <c r="F82" s="14">
        <f>+C123</f>
        <v>4.38</v>
      </c>
      <c r="H82" s="25">
        <f>E82*F82</f>
        <v>1.6643999999999999</v>
      </c>
      <c r="I82" s="95"/>
      <c r="J82" s="5"/>
    </row>
    <row r="83" spans="1:10" ht="16.5" thickBot="1">
      <c r="A83" s="90"/>
      <c r="B83" s="72"/>
      <c r="C83" s="28"/>
      <c r="D83" s="28"/>
      <c r="E83" s="8"/>
      <c r="F83" s="73"/>
      <c r="G83" s="252">
        <f>SUM(G79:G80)</f>
        <v>1.4859999999999998</v>
      </c>
      <c r="H83" s="252">
        <f>SUM(H81:H82)</f>
        <v>6.900799999999999</v>
      </c>
      <c r="I83" s="88"/>
      <c r="J83" s="11"/>
    </row>
    <row r="84" spans="1:10" ht="16.5" thickTop="1">
      <c r="A84" s="178">
        <v>16.9</v>
      </c>
      <c r="B84" s="113"/>
      <c r="C84" s="69"/>
      <c r="D84" s="69"/>
      <c r="E84" s="70"/>
      <c r="F84" s="139"/>
      <c r="G84" s="115"/>
      <c r="H84" s="115"/>
      <c r="I84" s="89"/>
      <c r="J84" s="71"/>
    </row>
    <row r="85" spans="1:10" s="1" customFormat="1" ht="15.75">
      <c r="A85" s="173" t="s">
        <v>77</v>
      </c>
      <c r="B85" s="24"/>
      <c r="C85" s="24"/>
      <c r="D85" s="24"/>
      <c r="E85" s="3"/>
      <c r="F85" s="14"/>
      <c r="G85" s="85"/>
      <c r="H85" s="85"/>
      <c r="I85" s="95"/>
      <c r="J85" s="5"/>
    </row>
    <row r="86" spans="1:10" s="1" customFormat="1" ht="15.75">
      <c r="A86" s="173" t="s">
        <v>78</v>
      </c>
      <c r="B86" s="24"/>
      <c r="C86" s="24"/>
      <c r="D86" s="24"/>
      <c r="E86" s="3"/>
      <c r="F86" s="14"/>
      <c r="G86" s="85"/>
      <c r="H86" s="85"/>
      <c r="I86" s="95"/>
      <c r="J86" s="5"/>
    </row>
    <row r="87" spans="1:10" s="1" customFormat="1" ht="15.75">
      <c r="A87" s="172" t="s">
        <v>79</v>
      </c>
      <c r="B87" s="24"/>
      <c r="C87" s="24" t="s">
        <v>287</v>
      </c>
      <c r="D87" s="24" t="s">
        <v>76</v>
      </c>
      <c r="E87" s="3">
        <v>4.5</v>
      </c>
      <c r="F87" s="14">
        <f>IF(D87="ag-01",0.12,IF(D87="ag-02",0.09,IF(D87="ar-03",12.03,IF(D87="pd-07",0.94,IF(D87="op-02",4.31,IF(D87="op-01",6.89,IF(D87="ar-08",16,IF(D87="pd-08",0.37))))))))</f>
        <v>0.37</v>
      </c>
      <c r="G87" s="25">
        <f>E87*F87</f>
        <v>1.665</v>
      </c>
      <c r="I87" s="95">
        <f>SUM(G87:H90)</f>
        <v>7.670599999999999</v>
      </c>
      <c r="J87" s="5"/>
    </row>
    <row r="88" spans="1:10" s="1" customFormat="1" ht="15.75">
      <c r="A88" s="174" t="s">
        <v>68</v>
      </c>
      <c r="B88" s="24"/>
      <c r="C88" s="24" t="s">
        <v>287</v>
      </c>
      <c r="D88" s="24" t="s">
        <v>69</v>
      </c>
      <c r="E88" s="3">
        <v>0.4</v>
      </c>
      <c r="F88" s="14">
        <f>IF(D88="ag-01",0.12,IF(D88="ag-02",0.09,IF(D88="ar-03",12.03,IF(D88="pd-07",0.94,IF(D88="op-02",4.31,IF(D88="op-01",6.89,IF(D88="ar-08",16,IF(D88="pd-08",0.37))))))))</f>
        <v>0.94</v>
      </c>
      <c r="G88" s="25">
        <f>E88*F88</f>
        <v>0.376</v>
      </c>
      <c r="I88" s="95"/>
      <c r="J88" s="5"/>
    </row>
    <row r="89" spans="1:10" s="1" customFormat="1" ht="15.75">
      <c r="A89" s="174" t="s">
        <v>289</v>
      </c>
      <c r="B89" s="24"/>
      <c r="C89" s="24" t="s">
        <v>228</v>
      </c>
      <c r="D89" s="24" t="s">
        <v>290</v>
      </c>
      <c r="E89" s="3">
        <v>0.62</v>
      </c>
      <c r="F89" s="14">
        <f>+C122</f>
        <v>6.89</v>
      </c>
      <c r="H89" s="25">
        <f>E89*F89</f>
        <v>4.2718</v>
      </c>
      <c r="I89" s="95"/>
      <c r="J89" s="5"/>
    </row>
    <row r="90" spans="1:10" s="1" customFormat="1" ht="15.75">
      <c r="A90" s="174" t="s">
        <v>227</v>
      </c>
      <c r="B90" s="24"/>
      <c r="C90" s="24" t="s">
        <v>228</v>
      </c>
      <c r="D90" s="24" t="s">
        <v>229</v>
      </c>
      <c r="E90" s="3">
        <v>0.31</v>
      </c>
      <c r="F90" s="14">
        <f>+C123</f>
        <v>4.38</v>
      </c>
      <c r="H90" s="25">
        <f>E90*F90</f>
        <v>1.3578</v>
      </c>
      <c r="I90" s="95"/>
      <c r="J90" s="5"/>
    </row>
    <row r="91" spans="1:10" ht="16.5" thickBot="1">
      <c r="A91" s="90"/>
      <c r="B91" s="72"/>
      <c r="C91" s="28"/>
      <c r="D91" s="28"/>
      <c r="E91" s="8"/>
      <c r="F91" s="73"/>
      <c r="G91" s="252">
        <f>SUM(G87:G88)</f>
        <v>2.041</v>
      </c>
      <c r="H91" s="252">
        <f>SUM(H89:H90)</f>
        <v>5.6296</v>
      </c>
      <c r="I91" s="88"/>
      <c r="J91" s="11"/>
    </row>
    <row r="92" spans="1:10" ht="16.5" thickTop="1">
      <c r="A92" s="176">
        <v>16.1</v>
      </c>
      <c r="B92" s="113"/>
      <c r="C92" s="69"/>
      <c r="D92" s="69"/>
      <c r="E92" s="70"/>
      <c r="F92" s="139"/>
      <c r="G92" s="115"/>
      <c r="H92" s="115"/>
      <c r="I92" s="89"/>
      <c r="J92" s="71"/>
    </row>
    <row r="93" spans="1:10" s="1" customFormat="1" ht="15.75">
      <c r="A93" s="173" t="s">
        <v>80</v>
      </c>
      <c r="B93" s="24"/>
      <c r="C93" s="24"/>
      <c r="D93" s="24"/>
      <c r="E93" s="3"/>
      <c r="F93" s="14"/>
      <c r="G93" s="85"/>
      <c r="H93" s="85"/>
      <c r="I93" s="95"/>
      <c r="J93" s="5"/>
    </row>
    <row r="94" spans="1:10" s="1" customFormat="1" ht="15.75">
      <c r="A94" s="173" t="s">
        <v>81</v>
      </c>
      <c r="B94" s="24"/>
      <c r="C94" s="24"/>
      <c r="D94" s="24"/>
      <c r="E94" s="3"/>
      <c r="F94" s="14"/>
      <c r="G94" s="85"/>
      <c r="H94" s="85"/>
      <c r="I94" s="95"/>
      <c r="J94" s="5"/>
    </row>
    <row r="95" spans="1:10" s="1" customFormat="1" ht="15.75">
      <c r="A95" s="174" t="s">
        <v>75</v>
      </c>
      <c r="B95" s="24"/>
      <c r="C95" s="24" t="s">
        <v>287</v>
      </c>
      <c r="D95" s="24" t="s">
        <v>76</v>
      </c>
      <c r="E95" s="3">
        <v>6</v>
      </c>
      <c r="F95" s="14">
        <f>IF(D95="ag-01",0.12,IF(D95="ag-02",0.09,IF(D95="ar-03",12.03,IF(D95="pd-07",0.94,IF(D95="op-02",4.31,IF(D95="op-01",6.89,IF(D95="ar-08",16,IF(D95="pd-08",0.37))))))))</f>
        <v>0.37</v>
      </c>
      <c r="G95" s="25">
        <f>E95*F95</f>
        <v>2.2199999999999998</v>
      </c>
      <c r="I95" s="95">
        <f>SUM(G95:H98)</f>
        <v>15.3486</v>
      </c>
      <c r="J95" s="5"/>
    </row>
    <row r="96" spans="1:10" s="1" customFormat="1" ht="15.75">
      <c r="A96" s="174" t="s">
        <v>68</v>
      </c>
      <c r="B96" s="24"/>
      <c r="C96" s="24" t="s">
        <v>287</v>
      </c>
      <c r="D96" s="24" t="s">
        <v>69</v>
      </c>
      <c r="E96" s="3">
        <v>0.25</v>
      </c>
      <c r="F96" s="14">
        <f>IF(D96="ag-01",0.12,IF(D96="ag-02",0.09,IF(D96="ar-03",12.03,IF(D96="pd-07",0.94,IF(D96="op-02",4.31,IF(D96="op-01",6.89,IF(D96="ar-08",16,IF(D96="pd-08",0.37))))))))</f>
        <v>0.94</v>
      </c>
      <c r="G96" s="25">
        <f>E96*F96</f>
        <v>0.235</v>
      </c>
      <c r="I96" s="95"/>
      <c r="J96" s="5"/>
    </row>
    <row r="97" spans="1:10" s="1" customFormat="1" ht="15.75">
      <c r="A97" s="174" t="s">
        <v>289</v>
      </c>
      <c r="B97" s="24"/>
      <c r="C97" s="24" t="s">
        <v>228</v>
      </c>
      <c r="D97" s="24" t="s">
        <v>290</v>
      </c>
      <c r="E97" s="3">
        <v>1.42</v>
      </c>
      <c r="F97" s="14">
        <f>+C122</f>
        <v>6.89</v>
      </c>
      <c r="H97" s="25">
        <f>E97*F97</f>
        <v>9.7838</v>
      </c>
      <c r="I97" s="95"/>
      <c r="J97" s="5"/>
    </row>
    <row r="98" spans="1:10" s="1" customFormat="1" ht="15.75">
      <c r="A98" s="174" t="s">
        <v>227</v>
      </c>
      <c r="B98" s="24"/>
      <c r="C98" s="24" t="s">
        <v>228</v>
      </c>
      <c r="D98" s="24" t="s">
        <v>229</v>
      </c>
      <c r="E98" s="3">
        <v>0.71</v>
      </c>
      <c r="F98" s="14">
        <f>+C123</f>
        <v>4.38</v>
      </c>
      <c r="H98" s="25">
        <f>E98*F98</f>
        <v>3.1098</v>
      </c>
      <c r="I98" s="95"/>
      <c r="J98" s="5"/>
    </row>
    <row r="99" spans="1:10" ht="16.5" thickBot="1">
      <c r="A99" s="90"/>
      <c r="B99" s="72"/>
      <c r="C99" s="28"/>
      <c r="D99" s="28"/>
      <c r="E99" s="8"/>
      <c r="F99" s="73"/>
      <c r="G99" s="252">
        <f>SUM(G95:G96)</f>
        <v>2.4549999999999996</v>
      </c>
      <c r="H99" s="67">
        <f>SUM(H97:H98)</f>
        <v>12.8936</v>
      </c>
      <c r="I99" s="88"/>
      <c r="J99" s="11"/>
    </row>
    <row r="100" spans="1:10" ht="16.5" thickTop="1">
      <c r="A100" s="168">
        <v>16.11</v>
      </c>
      <c r="B100" s="113"/>
      <c r="C100" s="69"/>
      <c r="D100" s="69"/>
      <c r="E100" s="70"/>
      <c r="F100" s="139"/>
      <c r="G100" s="115"/>
      <c r="H100" s="115"/>
      <c r="I100" s="89"/>
      <c r="J100" s="71"/>
    </row>
    <row r="101" spans="1:10" s="1" customFormat="1" ht="15.75">
      <c r="A101" s="173" t="s">
        <v>82</v>
      </c>
      <c r="B101" s="24"/>
      <c r="C101" s="24"/>
      <c r="D101" s="24"/>
      <c r="E101" s="3"/>
      <c r="F101" s="14"/>
      <c r="G101" s="85"/>
      <c r="H101" s="85"/>
      <c r="I101" s="95"/>
      <c r="J101" s="5"/>
    </row>
    <row r="102" spans="1:10" s="1" customFormat="1" ht="15.75">
      <c r="A102" s="173" t="s">
        <v>83</v>
      </c>
      <c r="B102" s="24"/>
      <c r="C102" s="24"/>
      <c r="D102" s="24"/>
      <c r="E102" s="3"/>
      <c r="F102" s="14"/>
      <c r="G102" s="85"/>
      <c r="H102" s="85"/>
      <c r="I102" s="95"/>
      <c r="J102" s="5"/>
    </row>
    <row r="103" spans="1:10" s="1" customFormat="1" ht="15.75">
      <c r="A103" s="173" t="s">
        <v>84</v>
      </c>
      <c r="B103" s="24"/>
      <c r="C103" s="24"/>
      <c r="D103" s="24"/>
      <c r="E103" s="3"/>
      <c r="F103" s="14"/>
      <c r="G103" s="85"/>
      <c r="H103" s="85"/>
      <c r="I103" s="95"/>
      <c r="J103" s="5"/>
    </row>
    <row r="104" spans="1:10" s="1" customFormat="1" ht="15.75">
      <c r="A104" s="174" t="s">
        <v>624</v>
      </c>
      <c r="B104" s="24"/>
      <c r="C104" s="24" t="s">
        <v>287</v>
      </c>
      <c r="D104" s="24" t="s">
        <v>355</v>
      </c>
      <c r="E104" s="3">
        <v>3.27</v>
      </c>
      <c r="F104" s="14">
        <f>IF(D104="ag-01",0.12,IF(D104="ag-02",0.09,IF(D104="ar-03",12.03,IF(D104="pd-07",0.94,IF(D104="op-02",4.31,IF(D104="op-01",6.89,IF(D104="ar-08",16,IF(D104="pd-08",0.37))))))))</f>
        <v>0.12</v>
      </c>
      <c r="G104" s="25">
        <f>E104*F104</f>
        <v>0.39239999999999997</v>
      </c>
      <c r="I104" s="95">
        <f>SUM(G104:H109)</f>
        <v>5.697489999999999</v>
      </c>
      <c r="J104" s="5"/>
    </row>
    <row r="105" spans="1:10" s="1" customFormat="1" ht="15.75">
      <c r="A105" s="174" t="s">
        <v>557</v>
      </c>
      <c r="B105" s="24"/>
      <c r="C105" s="24" t="s">
        <v>287</v>
      </c>
      <c r="D105" s="24" t="s">
        <v>377</v>
      </c>
      <c r="E105" s="3">
        <v>3.03</v>
      </c>
      <c r="F105" s="14">
        <f>IF(D105="ag-01",0.12,IF(D105="ag-02",0.09,IF(D105="ar-03",12.03,IF(D105="pd-07",0.94,IF(D105="op-02",4.31,IF(D105="op-01",6.89,IF(D105="ar-08",16,IF(D105="pd-08",0.37))))))))</f>
        <v>0.09</v>
      </c>
      <c r="G105" s="25">
        <f>E105*F105</f>
        <v>0.2727</v>
      </c>
      <c r="I105" s="95"/>
      <c r="J105" s="5"/>
    </row>
    <row r="106" spans="1:10" s="1" customFormat="1" ht="15.75">
      <c r="A106" s="174" t="s">
        <v>559</v>
      </c>
      <c r="B106" s="24"/>
      <c r="C106" s="24" t="s">
        <v>357</v>
      </c>
      <c r="D106" s="24" t="s">
        <v>560</v>
      </c>
      <c r="E106" s="3">
        <v>0.013</v>
      </c>
      <c r="F106" s="14">
        <f>IF(D106="ag-01",0.12,IF(D106="ag-02",0.09,IF(D106="ar-03",12.03,IF(D106="pd-07",0.94,IF(D106="op-02",4.31,IF(D106="op-01",6.89,IF(D106="ar-08",16,IF(D106="pd-08",0.37))))))))</f>
        <v>12.03</v>
      </c>
      <c r="G106" s="25">
        <f>E106*F106</f>
        <v>0.15638999999999997</v>
      </c>
      <c r="I106" s="95"/>
      <c r="J106" s="5"/>
    </row>
    <row r="107" spans="1:10" s="1" customFormat="1" ht="15.75">
      <c r="A107" s="174" t="s">
        <v>778</v>
      </c>
      <c r="B107" s="24"/>
      <c r="C107" s="24" t="s">
        <v>357</v>
      </c>
      <c r="D107" s="24" t="s">
        <v>779</v>
      </c>
      <c r="E107" s="3">
        <v>0.021</v>
      </c>
      <c r="F107" s="14">
        <f>IF(D107="ag-01",0.12,IF(D107="ag-02",0.09,IF(D107="ar-03",12.03,IF(D107="pd-07",0.94,IF(D107="op-02",4.31,IF(D107="op-01",6.89,IF(D107="ar-08",16,IF(D107="pd-08",0.37))))))))</f>
        <v>16</v>
      </c>
      <c r="G107" s="25">
        <f>E107*F107</f>
        <v>0.336</v>
      </c>
      <c r="I107" s="95"/>
      <c r="J107" s="5"/>
    </row>
    <row r="108" spans="1:10" s="1" customFormat="1" ht="15.75">
      <c r="A108" s="174" t="s">
        <v>289</v>
      </c>
      <c r="B108" s="24"/>
      <c r="C108" s="24" t="s">
        <v>228</v>
      </c>
      <c r="D108" s="24" t="s">
        <v>290</v>
      </c>
      <c r="E108" s="3">
        <v>0.5</v>
      </c>
      <c r="F108" s="14">
        <f>+C122</f>
        <v>6.89</v>
      </c>
      <c r="H108" s="25">
        <f>E108*F108</f>
        <v>3.445</v>
      </c>
      <c r="I108" s="95"/>
      <c r="J108" s="5"/>
    </row>
    <row r="109" spans="1:10" s="1" customFormat="1" ht="15.75">
      <c r="A109" s="174" t="s">
        <v>227</v>
      </c>
      <c r="B109" s="24"/>
      <c r="C109" s="24" t="s">
        <v>228</v>
      </c>
      <c r="D109" s="24" t="s">
        <v>229</v>
      </c>
      <c r="E109" s="3">
        <v>0.25</v>
      </c>
      <c r="F109" s="14">
        <f>+C123</f>
        <v>4.38</v>
      </c>
      <c r="H109" s="25">
        <f>E109*F109</f>
        <v>1.095</v>
      </c>
      <c r="I109" s="95"/>
      <c r="J109" s="5"/>
    </row>
    <row r="110" spans="1:10" ht="16.5" thickBot="1">
      <c r="A110" s="90"/>
      <c r="B110" s="72"/>
      <c r="C110" s="28"/>
      <c r="D110" s="28"/>
      <c r="E110" s="8"/>
      <c r="F110" s="73"/>
      <c r="G110" s="252">
        <f>SUM(G104:G107)</f>
        <v>1.1574900000000001</v>
      </c>
      <c r="H110" s="252">
        <f>SUM(H108:H109)</f>
        <v>4.54</v>
      </c>
      <c r="I110" s="88"/>
      <c r="J110" s="11"/>
    </row>
    <row r="111" spans="1:10" ht="16.5" thickTop="1">
      <c r="A111" s="177" t="s">
        <v>85</v>
      </c>
      <c r="B111" s="113"/>
      <c r="C111" s="69"/>
      <c r="D111" s="69"/>
      <c r="E111" s="70"/>
      <c r="F111" s="139"/>
      <c r="G111" s="115"/>
      <c r="H111" s="115"/>
      <c r="I111" s="89"/>
      <c r="J111" s="71"/>
    </row>
    <row r="112" spans="1:10" s="1" customFormat="1" ht="15.75">
      <c r="A112" s="173" t="s">
        <v>86</v>
      </c>
      <c r="B112" s="24"/>
      <c r="C112" s="24"/>
      <c r="D112" s="24"/>
      <c r="E112" s="3"/>
      <c r="F112" s="14"/>
      <c r="G112" s="85"/>
      <c r="H112" s="85"/>
      <c r="I112" s="95"/>
      <c r="J112" s="5"/>
    </row>
    <row r="113" spans="1:10" s="1" customFormat="1" ht="15.75">
      <c r="A113" s="173" t="s">
        <v>87</v>
      </c>
      <c r="B113" s="24"/>
      <c r="C113" s="24"/>
      <c r="D113" s="24"/>
      <c r="E113" s="3"/>
      <c r="F113" s="14"/>
      <c r="G113" s="85"/>
      <c r="H113" s="85"/>
      <c r="I113" s="95"/>
      <c r="J113" s="5"/>
    </row>
    <row r="114" spans="1:10" s="1" customFormat="1" ht="15.75">
      <c r="A114" s="207" t="s">
        <v>88</v>
      </c>
      <c r="B114" s="24"/>
      <c r="C114" s="24" t="s">
        <v>287</v>
      </c>
      <c r="D114" s="24" t="s">
        <v>89</v>
      </c>
      <c r="E114" s="3">
        <v>1.5</v>
      </c>
      <c r="F114" s="14">
        <f>IF(D114="as-04",0.75,IF(D114="as-02",0.71,IF(D114="op-02",4.31,IF(D114="op-01",6.89))))</f>
        <v>0.75</v>
      </c>
      <c r="G114" s="25">
        <f>E114*F114</f>
        <v>1.125</v>
      </c>
      <c r="I114" s="95">
        <f>SUM(G114:H117)</f>
        <v>12.233999999999998</v>
      </c>
      <c r="J114" s="5"/>
    </row>
    <row r="115" spans="1:10" s="1" customFormat="1" ht="15.75">
      <c r="A115" s="174" t="s">
        <v>90</v>
      </c>
      <c r="B115" s="24"/>
      <c r="C115" s="24" t="s">
        <v>317</v>
      </c>
      <c r="D115" s="24" t="s">
        <v>741</v>
      </c>
      <c r="E115" s="3">
        <v>0.3</v>
      </c>
      <c r="F115" s="14">
        <f>IF(D115="as-04",0.75,IF(D115="as-02",0.71,IF(D115="op-02",4.31,IF(D115="op-01",6.89))))</f>
        <v>0.71</v>
      </c>
      <c r="G115" s="25">
        <f>E115*F115</f>
        <v>0.213</v>
      </c>
      <c r="I115" s="95"/>
      <c r="J115" s="5"/>
    </row>
    <row r="116" spans="1:10" s="1" customFormat="1" ht="15.75">
      <c r="A116" s="174" t="s">
        <v>289</v>
      </c>
      <c r="B116" s="24"/>
      <c r="C116" s="24" t="s">
        <v>228</v>
      </c>
      <c r="D116" s="24" t="s">
        <v>290</v>
      </c>
      <c r="E116" s="3">
        <v>1.2</v>
      </c>
      <c r="F116" s="14">
        <f>+C122</f>
        <v>6.89</v>
      </c>
      <c r="H116" s="25">
        <f>E116*F116</f>
        <v>8.267999999999999</v>
      </c>
      <c r="I116" s="95"/>
      <c r="J116" s="5"/>
    </row>
    <row r="117" spans="1:10" s="1" customFormat="1" ht="15.75">
      <c r="A117" s="174" t="s">
        <v>227</v>
      </c>
      <c r="B117" s="24"/>
      <c r="C117" s="24" t="s">
        <v>228</v>
      </c>
      <c r="D117" s="24" t="s">
        <v>229</v>
      </c>
      <c r="E117" s="3">
        <v>0.6</v>
      </c>
      <c r="F117" s="14">
        <f>+C123</f>
        <v>4.38</v>
      </c>
      <c r="H117" s="25">
        <f>E117*F117</f>
        <v>2.6279999999999997</v>
      </c>
      <c r="I117" s="95"/>
      <c r="J117" s="5"/>
    </row>
    <row r="118" spans="1:10" ht="16.5" thickBot="1">
      <c r="A118" s="93"/>
      <c r="B118" s="80"/>
      <c r="C118" s="16"/>
      <c r="D118" s="16"/>
      <c r="E118" s="16"/>
      <c r="F118" s="62"/>
      <c r="G118" s="262">
        <f>SUM(G114:G115)</f>
        <v>1.338</v>
      </c>
      <c r="H118" s="66">
        <f>SUM(H116:H117)</f>
        <v>10.895999999999999</v>
      </c>
      <c r="I118" s="92"/>
      <c r="J118" s="20"/>
    </row>
    <row r="119" ht="13.5" thickTop="1"/>
    <row r="122" spans="2:3" ht="15.75">
      <c r="B122" s="301" t="s">
        <v>290</v>
      </c>
      <c r="C122" s="40">
        <v>6.89</v>
      </c>
    </row>
    <row r="123" spans="2:3" ht="15.75">
      <c r="B123" s="301" t="s">
        <v>229</v>
      </c>
      <c r="C123" s="40">
        <v>4.38</v>
      </c>
    </row>
  </sheetData>
  <printOptions/>
  <pageMargins left="0.037401575" right="0.037401575" top="1" bottom="1" header="0.511811024" footer="0.511811024"/>
  <pageSetup horizontalDpi="300" verticalDpi="300" orientation="landscape" paperSize="5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13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94" sqref="C94"/>
    </sheetView>
  </sheetViews>
  <sheetFormatPr defaultColWidth="11.421875" defaultRowHeight="12.75"/>
  <cols>
    <col min="1" max="1" width="54.00390625" style="0" customWidth="1"/>
    <col min="2" max="2" width="5.7109375" style="0" customWidth="1"/>
    <col min="3" max="3" width="8.57421875" style="0" customWidth="1"/>
    <col min="4" max="4" width="8.28125" style="0" customWidth="1"/>
    <col min="5" max="5" width="10.00390625" style="0" customWidth="1"/>
    <col min="6" max="6" width="9.7109375" style="0" customWidth="1"/>
    <col min="7" max="7" width="10.28125" style="0" customWidth="1"/>
    <col min="8" max="8" width="9.7109375" style="0" customWidth="1"/>
    <col min="9" max="9" width="10.28125" style="0" customWidth="1"/>
    <col min="10" max="10" width="94.00390625" style="0" customWidth="1"/>
  </cols>
  <sheetData>
    <row r="1" spans="1:39" ht="17.25" thickBot="1" thickTop="1">
      <c r="A1" s="275" t="s">
        <v>91</v>
      </c>
      <c r="B1" s="276"/>
      <c r="C1" s="276"/>
      <c r="D1" s="276"/>
      <c r="E1" s="276"/>
      <c r="F1" s="276"/>
      <c r="G1" s="276"/>
      <c r="H1" s="276"/>
      <c r="I1" s="276"/>
      <c r="J1" s="277"/>
      <c r="L1" s="215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7"/>
    </row>
    <row r="2" spans="1:39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  <c r="L2" s="218"/>
      <c r="AM2" s="219"/>
    </row>
    <row r="3" spans="1:39" ht="16.5" thickTop="1">
      <c r="A3" s="178">
        <v>17.1</v>
      </c>
      <c r="B3" s="124"/>
      <c r="C3" s="124"/>
      <c r="D3" s="141"/>
      <c r="E3" s="141"/>
      <c r="F3" s="141"/>
      <c r="G3" s="124"/>
      <c r="H3" s="141"/>
      <c r="I3" s="124"/>
      <c r="J3" s="169"/>
      <c r="L3" s="2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1"/>
    </row>
    <row r="4" spans="1:39" s="1" customFormat="1" ht="15.75">
      <c r="A4" s="179" t="s">
        <v>92</v>
      </c>
      <c r="B4" s="125"/>
      <c r="C4" s="125"/>
      <c r="D4" s="126"/>
      <c r="E4" s="126"/>
      <c r="F4" s="126"/>
      <c r="G4" s="125"/>
      <c r="H4" s="126"/>
      <c r="I4" s="125"/>
      <c r="J4" s="152"/>
      <c r="L4" s="222"/>
      <c r="AM4" s="223"/>
    </row>
    <row r="5" spans="1:39" s="1" customFormat="1" ht="15.75">
      <c r="A5" s="179" t="s">
        <v>93</v>
      </c>
      <c r="B5" s="125"/>
      <c r="C5" s="125"/>
      <c r="D5" s="126"/>
      <c r="E5" s="126"/>
      <c r="F5" s="126"/>
      <c r="G5" s="125"/>
      <c r="H5" s="126"/>
      <c r="I5" s="125"/>
      <c r="J5" s="152"/>
      <c r="L5" s="222"/>
      <c r="AM5" s="223"/>
    </row>
    <row r="6" spans="1:39" s="1" customFormat="1" ht="15.75">
      <c r="A6" s="174" t="s">
        <v>624</v>
      </c>
      <c r="B6" s="24"/>
      <c r="C6" s="24" t="s">
        <v>287</v>
      </c>
      <c r="D6" s="24" t="s">
        <v>355</v>
      </c>
      <c r="E6" s="3">
        <v>1</v>
      </c>
      <c r="F6" s="14">
        <f>IF(D6="ag-01",0.12,IF(D6="ag-04",0.13,IF(D6="ar-03",12.03,IF(D6="ar-08",16,IF(D6="op-02",4.31,IF(D6="op-01",6.89))))))</f>
        <v>0.12</v>
      </c>
      <c r="G6" s="25">
        <f>E6*F6</f>
        <v>0.12</v>
      </c>
      <c r="I6" s="95">
        <f>SUM(G6:H9)</f>
        <v>3.78809</v>
      </c>
      <c r="J6" s="5"/>
      <c r="L6" s="222"/>
      <c r="AM6" s="223"/>
    </row>
    <row r="7" spans="1:39" s="1" customFormat="1" ht="15.75">
      <c r="A7" s="174" t="s">
        <v>559</v>
      </c>
      <c r="B7" s="24"/>
      <c r="C7" s="24" t="s">
        <v>357</v>
      </c>
      <c r="D7" s="24" t="s">
        <v>560</v>
      </c>
      <c r="E7" s="3">
        <v>0.003</v>
      </c>
      <c r="F7" s="14">
        <f>IF(D7="ag-01",0.12,IF(D7="ag-04",0.13,IF(D7="ar-03",12.03,IF(D7="ar-08",16,IF(D7="op-02",4.31,IF(D7="op-01",6.89))))))</f>
        <v>12.03</v>
      </c>
      <c r="G7" s="25">
        <f>E7*F7</f>
        <v>0.03609</v>
      </c>
      <c r="I7" s="95"/>
      <c r="J7" s="5"/>
      <c r="L7" s="222"/>
      <c r="AM7" s="223"/>
    </row>
    <row r="8" spans="1:39" s="1" customFormat="1" ht="15.75">
      <c r="A8" s="174" t="s">
        <v>289</v>
      </c>
      <c r="B8" s="24"/>
      <c r="C8" s="24" t="s">
        <v>228</v>
      </c>
      <c r="D8" s="24" t="s">
        <v>290</v>
      </c>
      <c r="E8" s="3">
        <v>0.4</v>
      </c>
      <c r="F8" s="14">
        <f>+C92</f>
        <v>6.89</v>
      </c>
      <c r="H8" s="25">
        <f>E8*F8</f>
        <v>2.7560000000000002</v>
      </c>
      <c r="I8" s="95"/>
      <c r="J8" s="5"/>
      <c r="L8" s="222"/>
      <c r="AM8" s="223"/>
    </row>
    <row r="9" spans="1:39" s="1" customFormat="1" ht="15.75">
      <c r="A9" s="174" t="s">
        <v>227</v>
      </c>
      <c r="B9" s="24"/>
      <c r="C9" s="24" t="s">
        <v>228</v>
      </c>
      <c r="D9" s="24" t="s">
        <v>229</v>
      </c>
      <c r="E9" s="3">
        <v>0.2</v>
      </c>
      <c r="F9" s="14">
        <f>+C93</f>
        <v>4.38</v>
      </c>
      <c r="H9" s="25">
        <f>E9*F9</f>
        <v>0.876</v>
      </c>
      <c r="I9" s="95"/>
      <c r="J9" s="5"/>
      <c r="L9" s="222"/>
      <c r="AM9" s="223"/>
    </row>
    <row r="10" spans="1:39" ht="16.5" thickBot="1">
      <c r="A10" s="90"/>
      <c r="B10" s="72"/>
      <c r="C10" s="28"/>
      <c r="D10" s="28"/>
      <c r="E10" s="8"/>
      <c r="F10" s="73"/>
      <c r="G10" s="252">
        <f>SUM(G6:G7)</f>
        <v>0.15609</v>
      </c>
      <c r="H10" s="252">
        <f>SUM(H8:H9)</f>
        <v>3.632</v>
      </c>
      <c r="I10" s="88"/>
      <c r="J10" s="11"/>
      <c r="L10" s="2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1"/>
    </row>
    <row r="11" spans="1:39" ht="16.5" thickTop="1">
      <c r="A11" s="168">
        <v>17.2</v>
      </c>
      <c r="B11" s="113"/>
      <c r="C11" s="69"/>
      <c r="D11" s="69"/>
      <c r="E11" s="70"/>
      <c r="F11" s="139"/>
      <c r="G11" s="115"/>
      <c r="H11" s="115"/>
      <c r="I11" s="89"/>
      <c r="J11" s="71"/>
      <c r="L11" s="2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1"/>
    </row>
    <row r="12" spans="1:39" s="1" customFormat="1" ht="15.75">
      <c r="A12" s="173" t="s">
        <v>94</v>
      </c>
      <c r="B12" s="24"/>
      <c r="C12" s="24"/>
      <c r="D12" s="24"/>
      <c r="E12" s="3"/>
      <c r="F12" s="14"/>
      <c r="G12" s="85"/>
      <c r="H12" s="85"/>
      <c r="I12" s="95"/>
      <c r="J12" s="5"/>
      <c r="L12" s="222"/>
      <c r="AM12" s="223"/>
    </row>
    <row r="13" spans="1:39" s="1" customFormat="1" ht="15.75">
      <c r="A13" s="173" t="s">
        <v>95</v>
      </c>
      <c r="B13" s="24"/>
      <c r="C13" s="24"/>
      <c r="D13" s="24"/>
      <c r="E13" s="3"/>
      <c r="F13" s="14"/>
      <c r="G13" s="85"/>
      <c r="H13" s="85"/>
      <c r="I13" s="95"/>
      <c r="J13" s="5"/>
      <c r="L13" s="222"/>
      <c r="AM13" s="223"/>
    </row>
    <row r="14" spans="1:39" s="1" customFormat="1" ht="15.75">
      <c r="A14" s="173" t="s">
        <v>96</v>
      </c>
      <c r="B14" s="24"/>
      <c r="C14" s="24"/>
      <c r="D14" s="24"/>
      <c r="E14" s="3"/>
      <c r="F14" s="14"/>
      <c r="G14" s="85"/>
      <c r="H14" s="85"/>
      <c r="I14" s="95"/>
      <c r="J14" s="5"/>
      <c r="L14" s="222"/>
      <c r="AM14" s="223"/>
    </row>
    <row r="15" spans="1:39" s="1" customFormat="1" ht="15.75">
      <c r="A15" s="174" t="s">
        <v>624</v>
      </c>
      <c r="B15" s="24"/>
      <c r="C15" s="24" t="s">
        <v>287</v>
      </c>
      <c r="D15" s="24" t="s">
        <v>355</v>
      </c>
      <c r="E15" s="3">
        <v>0.14</v>
      </c>
      <c r="F15" s="14">
        <f>IF(D15="ag-01",0.12,IF(D15="ag-04",0.13,IF(D15="ar-03",12.03,IF(D15="ar-08",16,IF(D15="op-02",4.31,IF(D15="op-01",6.89))))))</f>
        <v>0.12</v>
      </c>
      <c r="G15" s="25">
        <f>E15*F15</f>
        <v>0.016800000000000002</v>
      </c>
      <c r="I15" s="95">
        <f>SUM(G15:H19)</f>
        <v>2.32796</v>
      </c>
      <c r="J15" s="5"/>
      <c r="L15" s="222"/>
      <c r="AM15" s="223"/>
    </row>
    <row r="16" spans="1:39" s="1" customFormat="1" ht="15.75">
      <c r="A16" s="174" t="s">
        <v>843</v>
      </c>
      <c r="B16" s="24"/>
      <c r="C16" s="24" t="s">
        <v>287</v>
      </c>
      <c r="D16" s="24" t="s">
        <v>844</v>
      </c>
      <c r="E16" s="3">
        <v>0.3</v>
      </c>
      <c r="F16" s="14">
        <f>IF(D16="ag-01",0.12,IF(D16="ag-04",0.13,IF(D16="ar-03",12.03,IF(D16="ar-08",16,IF(D16="op-02",4.31,IF(D16="op-01",6.89))))))</f>
        <v>0.13</v>
      </c>
      <c r="G16" s="25">
        <f>E16*F16</f>
        <v>0.039</v>
      </c>
      <c r="I16" s="95"/>
      <c r="J16" s="5"/>
      <c r="L16" s="222"/>
      <c r="AM16" s="223"/>
    </row>
    <row r="17" spans="1:39" s="1" customFormat="1" ht="15.75">
      <c r="A17" s="174" t="s">
        <v>559</v>
      </c>
      <c r="B17" s="24"/>
      <c r="C17" s="24" t="s">
        <v>357</v>
      </c>
      <c r="D17" s="24" t="s">
        <v>560</v>
      </c>
      <c r="E17" s="3">
        <v>0.002</v>
      </c>
      <c r="F17" s="14">
        <f>IF(D17="ag-01",0.12,IF(D17="ag-04",0.13,IF(D17="ar-03",12.03,IF(D17="ar-08",16,IF(D17="op-02",4.31,IF(D17="op-01",6.89))))))</f>
        <v>12.03</v>
      </c>
      <c r="G17" s="25">
        <f>E17*F17</f>
        <v>0.024059999999999998</v>
      </c>
      <c r="I17" s="95"/>
      <c r="J17" s="5"/>
      <c r="L17" s="222"/>
      <c r="AM17" s="223"/>
    </row>
    <row r="18" spans="1:39" s="1" customFormat="1" ht="15.75">
      <c r="A18" s="174" t="s">
        <v>289</v>
      </c>
      <c r="B18" s="24"/>
      <c r="C18" s="24" t="s">
        <v>228</v>
      </c>
      <c r="D18" s="24" t="s">
        <v>290</v>
      </c>
      <c r="E18" s="3">
        <v>0.25</v>
      </c>
      <c r="F18" s="14">
        <f>+C92</f>
        <v>6.89</v>
      </c>
      <c r="H18" s="25">
        <f>E18*F18</f>
        <v>1.7225</v>
      </c>
      <c r="I18" s="95"/>
      <c r="J18" s="5"/>
      <c r="L18" s="222"/>
      <c r="AM18" s="223"/>
    </row>
    <row r="19" spans="1:39" s="1" customFormat="1" ht="15.75">
      <c r="A19" s="174" t="s">
        <v>227</v>
      </c>
      <c r="B19" s="24"/>
      <c r="C19" s="24" t="s">
        <v>228</v>
      </c>
      <c r="D19" s="24" t="s">
        <v>229</v>
      </c>
      <c r="E19" s="3">
        <v>0.12</v>
      </c>
      <c r="F19" s="14">
        <f>+C93</f>
        <v>4.38</v>
      </c>
      <c r="H19" s="25">
        <f>E19*F19</f>
        <v>0.5256</v>
      </c>
      <c r="I19" s="95"/>
      <c r="J19" s="5"/>
      <c r="L19" s="222"/>
      <c r="AM19" s="223"/>
    </row>
    <row r="20" spans="1:39" ht="16.5" thickBot="1">
      <c r="A20" s="90"/>
      <c r="B20" s="72"/>
      <c r="C20" s="28"/>
      <c r="D20" s="28"/>
      <c r="E20" s="8"/>
      <c r="F20" s="73"/>
      <c r="G20" s="252">
        <f>SUM(G15:G17)</f>
        <v>0.07986</v>
      </c>
      <c r="H20" s="67">
        <f>SUM(H18:H19)</f>
        <v>2.2481</v>
      </c>
      <c r="I20" s="88"/>
      <c r="J20" s="11"/>
      <c r="L20" s="2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1"/>
    </row>
    <row r="21" spans="1:39" ht="16.5" thickTop="1">
      <c r="A21" s="168">
        <v>17.3</v>
      </c>
      <c r="B21" s="113"/>
      <c r="C21" s="69"/>
      <c r="D21" s="69"/>
      <c r="E21" s="70"/>
      <c r="F21" s="139"/>
      <c r="G21" s="115"/>
      <c r="H21" s="115"/>
      <c r="I21" s="89"/>
      <c r="J21" s="71"/>
      <c r="L21" s="2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1"/>
    </row>
    <row r="22" spans="1:39" s="1" customFormat="1" ht="15.75">
      <c r="A22" s="173" t="s">
        <v>97</v>
      </c>
      <c r="B22" s="24"/>
      <c r="C22" s="24"/>
      <c r="D22" s="24"/>
      <c r="E22" s="3"/>
      <c r="F22" s="14"/>
      <c r="G22" s="85"/>
      <c r="H22" s="85"/>
      <c r="I22" s="95"/>
      <c r="J22" s="5"/>
      <c r="L22" s="222"/>
      <c r="AM22" s="223"/>
    </row>
    <row r="23" spans="1:39" s="1" customFormat="1" ht="15.75">
      <c r="A23" s="173" t="s">
        <v>98</v>
      </c>
      <c r="B23" s="24"/>
      <c r="C23" s="24"/>
      <c r="D23" s="24"/>
      <c r="E23" s="3"/>
      <c r="F23" s="14"/>
      <c r="G23" s="85"/>
      <c r="H23" s="85"/>
      <c r="I23" s="95"/>
      <c r="J23" s="5"/>
      <c r="L23" s="222"/>
      <c r="AM23" s="223"/>
    </row>
    <row r="24" spans="1:39" s="1" customFormat="1" ht="15.75">
      <c r="A24" s="173" t="s">
        <v>99</v>
      </c>
      <c r="B24" s="24"/>
      <c r="C24" s="24"/>
      <c r="D24" s="24"/>
      <c r="E24" s="3"/>
      <c r="F24" s="14"/>
      <c r="G24" s="85"/>
      <c r="H24" s="85"/>
      <c r="I24" s="95"/>
      <c r="J24" s="5"/>
      <c r="L24" s="222"/>
      <c r="AM24" s="223"/>
    </row>
    <row r="25" spans="1:39" s="1" customFormat="1" ht="15.75">
      <c r="A25" s="172" t="s">
        <v>100</v>
      </c>
      <c r="B25" s="24"/>
      <c r="C25" s="24" t="s">
        <v>287</v>
      </c>
      <c r="D25" s="24" t="s">
        <v>355</v>
      </c>
      <c r="E25" s="3">
        <v>0.17</v>
      </c>
      <c r="F25" s="14">
        <f>IF(D25="ag-01",0.12,IF(D25="ag-04",0.13,IF(D25="ar-03",12.03,IF(D25="ar-08",16,IF(D25="op-02",4.31,IF(D25="op-01",6.89))))))</f>
        <v>0.12</v>
      </c>
      <c r="G25" s="25">
        <f>E25*F25</f>
        <v>0.0204</v>
      </c>
      <c r="I25" s="95">
        <f>SUM(G25:H29)</f>
        <v>3.4701599999999995</v>
      </c>
      <c r="J25" s="5"/>
      <c r="L25" s="222"/>
      <c r="AM25" s="223"/>
    </row>
    <row r="26" spans="1:39" s="1" customFormat="1" ht="15.75">
      <c r="A26" s="174" t="s">
        <v>843</v>
      </c>
      <c r="B26" s="24"/>
      <c r="C26" s="24" t="s">
        <v>287</v>
      </c>
      <c r="D26" s="24" t="s">
        <v>844</v>
      </c>
      <c r="E26" s="3">
        <v>0.34</v>
      </c>
      <c r="F26" s="14">
        <f>IF(D26="ag-01",0.12,IF(D26="ag-04",0.13,IF(D26="ar-03",12.03,IF(D26="ar-08",16,IF(D26="op-02",4.31,IF(D26="op-01",6.89))))))</f>
        <v>0.13</v>
      </c>
      <c r="G26" s="25">
        <f>E26*F26</f>
        <v>0.0442</v>
      </c>
      <c r="I26" s="95"/>
      <c r="J26" s="5"/>
      <c r="L26" s="222"/>
      <c r="AM26" s="223"/>
    </row>
    <row r="27" spans="1:39" s="1" customFormat="1" ht="15.75">
      <c r="A27" s="174" t="s">
        <v>559</v>
      </c>
      <c r="B27" s="24"/>
      <c r="C27" s="24" t="s">
        <v>357</v>
      </c>
      <c r="D27" s="24" t="s">
        <v>560</v>
      </c>
      <c r="E27" s="3">
        <v>0.002</v>
      </c>
      <c r="F27" s="14">
        <f>IF(D27="ag-01",0.12,IF(D27="ag-04",0.13,IF(D27="ar-03",12.03,IF(D27="ar-08",16,IF(D27="op-02",4.31,IF(D27="op-01",6.89))))))</f>
        <v>12.03</v>
      </c>
      <c r="G27" s="25">
        <f>E27*F27</f>
        <v>0.024059999999999998</v>
      </c>
      <c r="I27" s="95"/>
      <c r="J27" s="5"/>
      <c r="L27" s="222"/>
      <c r="AM27" s="223"/>
    </row>
    <row r="28" spans="1:39" s="1" customFormat="1" ht="15.75">
      <c r="A28" s="174" t="s">
        <v>289</v>
      </c>
      <c r="B28" s="24"/>
      <c r="C28" s="24" t="s">
        <v>228</v>
      </c>
      <c r="D28" s="24" t="s">
        <v>290</v>
      </c>
      <c r="E28" s="3">
        <v>0.37</v>
      </c>
      <c r="F28" s="14">
        <f>+C92</f>
        <v>6.89</v>
      </c>
      <c r="G28" s="4"/>
      <c r="H28" s="25">
        <f>E28*F28</f>
        <v>2.5492999999999997</v>
      </c>
      <c r="I28" s="95"/>
      <c r="J28" s="5"/>
      <c r="L28" s="222"/>
      <c r="AM28" s="223"/>
    </row>
    <row r="29" spans="1:39" s="1" customFormat="1" ht="15.75">
      <c r="A29" s="174" t="s">
        <v>227</v>
      </c>
      <c r="B29" s="24"/>
      <c r="C29" s="24" t="s">
        <v>228</v>
      </c>
      <c r="D29" s="24" t="s">
        <v>229</v>
      </c>
      <c r="E29" s="3">
        <v>0.19</v>
      </c>
      <c r="F29" s="14">
        <f>+C93</f>
        <v>4.38</v>
      </c>
      <c r="H29" s="25">
        <f>E29*F29</f>
        <v>0.8321999999999999</v>
      </c>
      <c r="I29" s="95"/>
      <c r="J29" s="5"/>
      <c r="L29" s="222"/>
      <c r="AM29" s="223"/>
    </row>
    <row r="30" spans="1:39" ht="16.5" thickBot="1">
      <c r="A30" s="90"/>
      <c r="B30" s="72"/>
      <c r="C30" s="28"/>
      <c r="D30" s="28"/>
      <c r="E30" s="8"/>
      <c r="F30" s="73"/>
      <c r="G30" s="252">
        <f>SUM(G25:G27)</f>
        <v>0.08866</v>
      </c>
      <c r="H30" s="252">
        <f>SUM(H28:H29)</f>
        <v>3.3814999999999995</v>
      </c>
      <c r="I30" s="88"/>
      <c r="J30" s="11"/>
      <c r="L30" s="2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1"/>
    </row>
    <row r="31" spans="1:39" ht="16.5" thickTop="1">
      <c r="A31" s="168">
        <v>17.4</v>
      </c>
      <c r="B31" s="113"/>
      <c r="C31" s="69"/>
      <c r="D31" s="69"/>
      <c r="E31" s="70"/>
      <c r="F31" s="139"/>
      <c r="G31" s="115"/>
      <c r="H31" s="115"/>
      <c r="I31" s="89"/>
      <c r="J31" s="71"/>
      <c r="L31" s="22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1"/>
    </row>
    <row r="32" spans="1:39" s="1" customFormat="1" ht="15.75">
      <c r="A32" s="173" t="s">
        <v>101</v>
      </c>
      <c r="B32" s="24"/>
      <c r="C32" s="24"/>
      <c r="D32" s="24"/>
      <c r="E32" s="3"/>
      <c r="F32" s="14"/>
      <c r="G32" s="85"/>
      <c r="H32" s="85"/>
      <c r="I32" s="95"/>
      <c r="J32" s="5"/>
      <c r="L32" s="222"/>
      <c r="AM32" s="223"/>
    </row>
    <row r="33" spans="1:39" s="1" customFormat="1" ht="15.75">
      <c r="A33" s="173" t="s">
        <v>102</v>
      </c>
      <c r="B33" s="24"/>
      <c r="C33" s="24"/>
      <c r="D33" s="24"/>
      <c r="E33" s="3"/>
      <c r="F33" s="14"/>
      <c r="G33" s="85"/>
      <c r="H33" s="85"/>
      <c r="I33" s="95"/>
      <c r="J33" s="5"/>
      <c r="L33" s="222"/>
      <c r="AM33" s="223"/>
    </row>
    <row r="34" spans="1:39" s="1" customFormat="1" ht="15.75">
      <c r="A34" s="173" t="s">
        <v>103</v>
      </c>
      <c r="B34" s="24"/>
      <c r="C34" s="24"/>
      <c r="D34" s="24"/>
      <c r="E34" s="3"/>
      <c r="F34" s="14"/>
      <c r="G34" s="85"/>
      <c r="H34" s="85"/>
      <c r="I34" s="95"/>
      <c r="J34" s="5"/>
      <c r="L34" s="222"/>
      <c r="AM34" s="223"/>
    </row>
    <row r="35" spans="1:39" s="1" customFormat="1" ht="15.75">
      <c r="A35" s="174" t="s">
        <v>624</v>
      </c>
      <c r="B35" s="24"/>
      <c r="C35" s="24" t="s">
        <v>287</v>
      </c>
      <c r="D35" s="24" t="s">
        <v>355</v>
      </c>
      <c r="E35" s="3">
        <v>0.14</v>
      </c>
      <c r="F35" s="14">
        <f>IF(D35="ag-01",0.12,IF(D35="ag-04",0.13,IF(D35="ar-03",12.03,IF(D35="ar-08",16,IF(D35="op-02",4.31,IF(D35="op-01",6.89))))))</f>
        <v>0.12</v>
      </c>
      <c r="G35" s="25">
        <f>E35*F35</f>
        <v>0.016800000000000002</v>
      </c>
      <c r="I35" s="95">
        <f>SUM(G35:H39)</f>
        <v>3.5302599999999997</v>
      </c>
      <c r="J35" s="5"/>
      <c r="L35" s="222"/>
      <c r="AM35" s="223"/>
    </row>
    <row r="36" spans="1:39" s="1" customFormat="1" ht="15.75">
      <c r="A36" s="174" t="s">
        <v>843</v>
      </c>
      <c r="B36" s="24"/>
      <c r="C36" s="24" t="s">
        <v>287</v>
      </c>
      <c r="D36" s="24" t="s">
        <v>844</v>
      </c>
      <c r="E36" s="3">
        <v>0.3</v>
      </c>
      <c r="F36" s="14">
        <f>IF(D36="ag-01",0.12,IF(D36="ag-04",0.13,IF(D36="ar-03",12.03,IF(D36="ar-08",16,IF(D36="op-02",4.31,IF(D36="op-01",6.89))))))</f>
        <v>0.13</v>
      </c>
      <c r="G36" s="25">
        <f>E36*F36</f>
        <v>0.039</v>
      </c>
      <c r="I36" s="95"/>
      <c r="J36" s="5"/>
      <c r="L36" s="222"/>
      <c r="AM36" s="223"/>
    </row>
    <row r="37" spans="1:39" s="1" customFormat="1" ht="15.75">
      <c r="A37" s="174" t="s">
        <v>559</v>
      </c>
      <c r="B37" s="24"/>
      <c r="C37" s="24" t="s">
        <v>634</v>
      </c>
      <c r="D37" s="24" t="s">
        <v>560</v>
      </c>
      <c r="E37" s="3">
        <v>0.002</v>
      </c>
      <c r="F37" s="14">
        <f>IF(D37="ag-01",0.12,IF(D37="ag-04",0.13,IF(D37="ar-03",12.03,IF(D37="ar-08",16,IF(D37="op-02",4.31,IF(D37="op-01",6.89))))))</f>
        <v>12.03</v>
      </c>
      <c r="G37" s="25">
        <f>E37*F37</f>
        <v>0.024059999999999998</v>
      </c>
      <c r="I37" s="95"/>
      <c r="J37" s="5"/>
      <c r="L37" s="222"/>
      <c r="AM37" s="223"/>
    </row>
    <row r="38" spans="1:39" s="1" customFormat="1" ht="15.75">
      <c r="A38" s="174" t="s">
        <v>289</v>
      </c>
      <c r="B38" s="24"/>
      <c r="C38" s="24" t="s">
        <v>228</v>
      </c>
      <c r="D38" s="24" t="s">
        <v>290</v>
      </c>
      <c r="E38" s="3">
        <v>0.38</v>
      </c>
      <c r="F38" s="14">
        <f>+C92</f>
        <v>6.89</v>
      </c>
      <c r="H38" s="25">
        <f>E38*F38</f>
        <v>2.6182</v>
      </c>
      <c r="I38" s="95"/>
      <c r="J38" s="5"/>
      <c r="L38" s="222"/>
      <c r="AM38" s="223"/>
    </row>
    <row r="39" spans="1:39" s="1" customFormat="1" ht="15.75">
      <c r="A39" s="174" t="s">
        <v>227</v>
      </c>
      <c r="B39" s="24"/>
      <c r="C39" s="24" t="s">
        <v>228</v>
      </c>
      <c r="D39" s="24" t="s">
        <v>229</v>
      </c>
      <c r="E39" s="3">
        <v>0.19</v>
      </c>
      <c r="F39" s="14">
        <f>+C93</f>
        <v>4.38</v>
      </c>
      <c r="H39" s="25">
        <f>E39*F39</f>
        <v>0.8321999999999999</v>
      </c>
      <c r="I39" s="95"/>
      <c r="J39" s="5"/>
      <c r="L39" s="222"/>
      <c r="AM39" s="223"/>
    </row>
    <row r="40" spans="1:39" ht="16.5" thickBot="1">
      <c r="A40" s="90"/>
      <c r="B40" s="72"/>
      <c r="C40" s="28"/>
      <c r="D40" s="28"/>
      <c r="E40" s="8"/>
      <c r="F40" s="73"/>
      <c r="G40" s="252">
        <f>SUM(G35:G37)</f>
        <v>0.07986</v>
      </c>
      <c r="H40" s="252">
        <f>SUM(H38:H39)</f>
        <v>3.4503999999999997</v>
      </c>
      <c r="I40" s="88"/>
      <c r="J40" s="11"/>
      <c r="L40" s="220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21"/>
    </row>
    <row r="41" spans="1:39" ht="16.5" thickTop="1">
      <c r="A41" s="168">
        <v>17.5</v>
      </c>
      <c r="B41" s="113"/>
      <c r="C41" s="69"/>
      <c r="D41" s="69"/>
      <c r="E41" s="70"/>
      <c r="F41" s="139"/>
      <c r="G41" s="115"/>
      <c r="H41" s="115"/>
      <c r="I41" s="89"/>
      <c r="J41" s="71"/>
      <c r="L41" s="2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1"/>
    </row>
    <row r="42" spans="1:39" s="1" customFormat="1" ht="15.75">
      <c r="A42" s="173" t="s">
        <v>104</v>
      </c>
      <c r="B42" s="24"/>
      <c r="C42" s="24"/>
      <c r="D42" s="24"/>
      <c r="E42" s="3"/>
      <c r="F42" s="14"/>
      <c r="G42" s="85"/>
      <c r="H42" s="85"/>
      <c r="I42" s="95"/>
      <c r="J42" s="5"/>
      <c r="L42" s="222"/>
      <c r="AM42" s="223"/>
    </row>
    <row r="43" spans="1:39" s="1" customFormat="1" ht="15.75">
      <c r="A43" s="173" t="s">
        <v>105</v>
      </c>
      <c r="B43" s="24"/>
      <c r="C43" s="24"/>
      <c r="D43" s="24"/>
      <c r="E43" s="3"/>
      <c r="F43" s="14"/>
      <c r="G43" s="85"/>
      <c r="H43" s="85"/>
      <c r="I43" s="95"/>
      <c r="J43" s="5"/>
      <c r="L43" s="222"/>
      <c r="AM43" s="223"/>
    </row>
    <row r="44" spans="1:39" s="1" customFormat="1" ht="15.75">
      <c r="A44" s="173" t="s">
        <v>106</v>
      </c>
      <c r="B44" s="24"/>
      <c r="C44" s="24"/>
      <c r="D44" s="24"/>
      <c r="E44" s="3"/>
      <c r="F44" s="14"/>
      <c r="G44" s="85"/>
      <c r="H44" s="85"/>
      <c r="I44" s="95"/>
      <c r="J44" s="5"/>
      <c r="L44" s="222"/>
      <c r="AM44" s="223"/>
    </row>
    <row r="45" spans="1:39" s="1" customFormat="1" ht="15.75">
      <c r="A45" s="174" t="s">
        <v>624</v>
      </c>
      <c r="B45" s="24"/>
      <c r="C45" s="24" t="s">
        <v>287</v>
      </c>
      <c r="D45" s="24" t="s">
        <v>355</v>
      </c>
      <c r="E45" s="3">
        <v>0.19</v>
      </c>
      <c r="F45" s="14">
        <f>IF(D45="ag-01",0.12,IF(D45="ag-04",0.13,IF(D45="ar-03",12.03,IF(D45="ar-08",16,IF(D45="op-02",4.31,IF(D45="op-01",6.89))))))</f>
        <v>0.12</v>
      </c>
      <c r="G45" s="25">
        <f>E45*F45</f>
        <v>0.0228</v>
      </c>
      <c r="I45" s="95">
        <f>SUM(G45:H49)</f>
        <v>3.92189</v>
      </c>
      <c r="J45" s="5"/>
      <c r="L45" s="222"/>
      <c r="AM45" s="223"/>
    </row>
    <row r="46" spans="1:39" s="1" customFormat="1" ht="15.75">
      <c r="A46" s="174" t="s">
        <v>843</v>
      </c>
      <c r="B46" s="24"/>
      <c r="C46" s="24" t="s">
        <v>287</v>
      </c>
      <c r="D46" s="24" t="s">
        <v>844</v>
      </c>
      <c r="E46" s="3">
        <v>0.38</v>
      </c>
      <c r="F46" s="14">
        <f>IF(D46="ag-01",0.12,IF(D46="ag-04",0.13,IF(D46="ar-03",12.03,IF(D46="ar-08",16,IF(D46="op-02",4.31,IF(D46="op-01",6.89))))))</f>
        <v>0.13</v>
      </c>
      <c r="G46" s="25">
        <f>E46*F46</f>
        <v>0.0494</v>
      </c>
      <c r="I46" s="95"/>
      <c r="J46" s="5"/>
      <c r="L46" s="222"/>
      <c r="AM46" s="223"/>
    </row>
    <row r="47" spans="1:39" s="1" customFormat="1" ht="15.75">
      <c r="A47" s="174" t="s">
        <v>559</v>
      </c>
      <c r="B47" s="24"/>
      <c r="C47" s="24" t="s">
        <v>634</v>
      </c>
      <c r="D47" s="24" t="s">
        <v>560</v>
      </c>
      <c r="E47" s="3">
        <v>0.003</v>
      </c>
      <c r="F47" s="14">
        <f>IF(D47="ag-01",0.12,IF(D47="ag-04",0.13,IF(D47="ar-03",12.03,IF(D47="ar-08",16,IF(D47="op-02",4.31,IF(D47="op-01",6.89))))))</f>
        <v>12.03</v>
      </c>
      <c r="G47" s="25">
        <f>E47*F47</f>
        <v>0.03609</v>
      </c>
      <c r="I47" s="95"/>
      <c r="J47" s="5"/>
      <c r="L47" s="222"/>
      <c r="AM47" s="223"/>
    </row>
    <row r="48" spans="1:39" s="1" customFormat="1" ht="15.75">
      <c r="A48" s="174" t="s">
        <v>289</v>
      </c>
      <c r="B48" s="24"/>
      <c r="C48" s="24" t="s">
        <v>228</v>
      </c>
      <c r="D48" s="24" t="s">
        <v>290</v>
      </c>
      <c r="E48" s="3">
        <v>0.42</v>
      </c>
      <c r="F48" s="14">
        <f>+C92</f>
        <v>6.89</v>
      </c>
      <c r="H48" s="25">
        <f>E48*F48</f>
        <v>2.8937999999999997</v>
      </c>
      <c r="I48" s="95"/>
      <c r="J48" s="5"/>
      <c r="L48" s="222"/>
      <c r="AM48" s="223"/>
    </row>
    <row r="49" spans="1:39" s="1" customFormat="1" ht="15.75">
      <c r="A49" s="174" t="s">
        <v>227</v>
      </c>
      <c r="B49" s="24"/>
      <c r="C49" s="24" t="s">
        <v>228</v>
      </c>
      <c r="D49" s="24" t="s">
        <v>229</v>
      </c>
      <c r="E49" s="3">
        <v>0.21</v>
      </c>
      <c r="F49" s="14">
        <f>+C93</f>
        <v>4.38</v>
      </c>
      <c r="H49" s="25">
        <f>E49*F49</f>
        <v>0.9198</v>
      </c>
      <c r="I49" s="95"/>
      <c r="J49" s="5"/>
      <c r="L49" s="222"/>
      <c r="AM49" s="223"/>
    </row>
    <row r="50" spans="1:39" ht="16.5" thickBot="1">
      <c r="A50" s="90"/>
      <c r="B50" s="72"/>
      <c r="C50" s="28"/>
      <c r="D50" s="28"/>
      <c r="E50" s="8"/>
      <c r="F50" s="73"/>
      <c r="G50" s="252">
        <f>SUM(G45:G47)</f>
        <v>0.10829</v>
      </c>
      <c r="H50" s="252">
        <f>SUM(H48:H49)</f>
        <v>3.8135999999999997</v>
      </c>
      <c r="I50" s="88"/>
      <c r="J50" s="11"/>
      <c r="L50" s="2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1"/>
    </row>
    <row r="51" spans="1:39" ht="16.5" thickTop="1">
      <c r="A51" s="168">
        <v>17.6</v>
      </c>
      <c r="B51" s="113"/>
      <c r="C51" s="69"/>
      <c r="D51" s="69"/>
      <c r="E51" s="70"/>
      <c r="F51" s="139"/>
      <c r="G51" s="115"/>
      <c r="H51" s="115"/>
      <c r="I51" s="89"/>
      <c r="J51" s="71"/>
      <c r="L51" s="22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1"/>
    </row>
    <row r="52" spans="1:39" s="1" customFormat="1" ht="15.75">
      <c r="A52" s="173" t="s">
        <v>107</v>
      </c>
      <c r="B52" s="24"/>
      <c r="C52" s="24"/>
      <c r="D52" s="24"/>
      <c r="E52" s="3"/>
      <c r="F52" s="14"/>
      <c r="G52" s="85"/>
      <c r="H52" s="85"/>
      <c r="I52" s="95"/>
      <c r="J52" s="5"/>
      <c r="L52" s="222"/>
      <c r="AM52" s="223"/>
    </row>
    <row r="53" spans="1:39" s="1" customFormat="1" ht="15.75">
      <c r="A53" s="173" t="s">
        <v>108</v>
      </c>
      <c r="B53" s="24"/>
      <c r="C53" s="24"/>
      <c r="D53" s="24"/>
      <c r="E53" s="3"/>
      <c r="F53" s="14"/>
      <c r="G53" s="85"/>
      <c r="H53" s="85"/>
      <c r="I53" s="95"/>
      <c r="J53" s="5"/>
      <c r="L53" s="222"/>
      <c r="AM53" s="223"/>
    </row>
    <row r="54" spans="1:39" s="1" customFormat="1" ht="15.75">
      <c r="A54" s="173" t="s">
        <v>109</v>
      </c>
      <c r="B54" s="24"/>
      <c r="C54" s="24"/>
      <c r="D54" s="24"/>
      <c r="E54" s="3"/>
      <c r="F54" s="14"/>
      <c r="G54" s="85"/>
      <c r="H54" s="85"/>
      <c r="I54" s="95"/>
      <c r="J54" s="5"/>
      <c r="L54" s="222"/>
      <c r="AM54" s="223"/>
    </row>
    <row r="55" spans="1:39" s="1" customFormat="1" ht="15.75">
      <c r="A55" s="172" t="s">
        <v>100</v>
      </c>
      <c r="B55" s="24"/>
      <c r="C55" s="24" t="s">
        <v>287</v>
      </c>
      <c r="D55" s="24" t="s">
        <v>355</v>
      </c>
      <c r="E55" s="3">
        <v>0.19</v>
      </c>
      <c r="F55" s="14">
        <f>IF(D55="ag-01",0.12,IF(D55="ag-04",0.13,IF(D55="ar-03",12.03,IF(D55="ar-08",16,IF(D55="op-02",4.31,IF(D55="op-01",6.89))))))</f>
        <v>0.12</v>
      </c>
      <c r="G55" s="25">
        <f>E55*F55</f>
        <v>0.0228</v>
      </c>
      <c r="I55" s="95">
        <f>SUM(G55:H59)</f>
        <v>2.3563899999999998</v>
      </c>
      <c r="J55" s="5"/>
      <c r="L55" s="222"/>
      <c r="AM55" s="223"/>
    </row>
    <row r="56" spans="1:39" s="1" customFormat="1" ht="15.75">
      <c r="A56" s="174" t="s">
        <v>843</v>
      </c>
      <c r="B56" s="24"/>
      <c r="C56" s="24" t="s">
        <v>287</v>
      </c>
      <c r="D56" s="24" t="s">
        <v>844</v>
      </c>
      <c r="E56" s="3">
        <v>0.38</v>
      </c>
      <c r="F56" s="14">
        <f>IF(D56="ag-01",0.12,IF(D56="ag-04",0.13,IF(D56="ar-03",12.03,IF(D56="ar-08",16,IF(D56="op-02",4.31,IF(D56="op-01",6.89))))))</f>
        <v>0.13</v>
      </c>
      <c r="G56" s="25">
        <f>E56*F56</f>
        <v>0.0494</v>
      </c>
      <c r="I56" s="95"/>
      <c r="J56" s="5"/>
      <c r="L56" s="222"/>
      <c r="AM56" s="223"/>
    </row>
    <row r="57" spans="1:39" s="1" customFormat="1" ht="15.75">
      <c r="A57" s="174" t="s">
        <v>559</v>
      </c>
      <c r="B57" s="24"/>
      <c r="C57" s="24" t="s">
        <v>634</v>
      </c>
      <c r="D57" s="24" t="s">
        <v>560</v>
      </c>
      <c r="E57" s="3">
        <v>0.003</v>
      </c>
      <c r="F57" s="14">
        <f>IF(D57="ag-01",0.12,IF(D57="ag-04",0.13,IF(D57="ar-03",12.03,IF(D57="ar-08",16,IF(D57="op-02",4.31,IF(D57="op-01",6.89))))))</f>
        <v>12.03</v>
      </c>
      <c r="G57" s="25">
        <f>E57*F57</f>
        <v>0.03609</v>
      </c>
      <c r="I57" s="95"/>
      <c r="J57" s="5"/>
      <c r="L57" s="222"/>
      <c r="AM57" s="223"/>
    </row>
    <row r="58" spans="1:39" s="1" customFormat="1" ht="15.75">
      <c r="A58" s="174" t="s">
        <v>289</v>
      </c>
      <c r="B58" s="24"/>
      <c r="C58" s="24" t="s">
        <v>228</v>
      </c>
      <c r="D58" s="24" t="s">
        <v>290</v>
      </c>
      <c r="E58" s="3">
        <v>0.25</v>
      </c>
      <c r="F58" s="14">
        <f>+C92</f>
        <v>6.89</v>
      </c>
      <c r="H58" s="25">
        <f>E58*F58</f>
        <v>1.7225</v>
      </c>
      <c r="I58" s="95"/>
      <c r="J58" s="5"/>
      <c r="L58" s="222"/>
      <c r="AM58" s="223"/>
    </row>
    <row r="59" spans="1:39" s="1" customFormat="1" ht="15.75">
      <c r="A59" s="174" t="s">
        <v>227</v>
      </c>
      <c r="B59" s="24"/>
      <c r="C59" s="24" t="s">
        <v>228</v>
      </c>
      <c r="D59" s="24" t="s">
        <v>229</v>
      </c>
      <c r="E59" s="3">
        <v>0.12</v>
      </c>
      <c r="F59" s="14">
        <f>+C93</f>
        <v>4.38</v>
      </c>
      <c r="H59" s="25">
        <f>E59*F59</f>
        <v>0.5256</v>
      </c>
      <c r="I59" s="95"/>
      <c r="J59" s="5"/>
      <c r="L59" s="222"/>
      <c r="AM59" s="223"/>
    </row>
    <row r="60" spans="1:39" ht="16.5" thickBot="1">
      <c r="A60" s="90"/>
      <c r="B60" s="72"/>
      <c r="C60" s="28"/>
      <c r="D60" s="28"/>
      <c r="E60" s="8"/>
      <c r="F60" s="73"/>
      <c r="G60" s="252">
        <f>SUM(G55:G57)</f>
        <v>0.10829</v>
      </c>
      <c r="H60" s="67">
        <f>SUM(H58:H59)</f>
        <v>2.2481</v>
      </c>
      <c r="I60" s="88"/>
      <c r="J60" s="11"/>
      <c r="L60" s="2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21"/>
    </row>
    <row r="61" spans="1:39" ht="16.5" thickTop="1">
      <c r="A61" s="168">
        <v>17.7</v>
      </c>
      <c r="B61" s="113"/>
      <c r="C61" s="69"/>
      <c r="D61" s="69"/>
      <c r="E61" s="70"/>
      <c r="F61" s="139"/>
      <c r="G61" s="115"/>
      <c r="H61" s="115"/>
      <c r="I61" s="89"/>
      <c r="J61" s="71"/>
      <c r="L61" s="220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21"/>
    </row>
    <row r="62" spans="1:39" s="1" customFormat="1" ht="15.75">
      <c r="A62" s="173" t="s">
        <v>110</v>
      </c>
      <c r="B62" s="24"/>
      <c r="C62" s="24"/>
      <c r="D62" s="24"/>
      <c r="E62" s="3"/>
      <c r="F62" s="14"/>
      <c r="G62" s="85"/>
      <c r="H62" s="85"/>
      <c r="I62" s="95"/>
      <c r="J62" s="5"/>
      <c r="L62" s="222"/>
      <c r="AM62" s="223"/>
    </row>
    <row r="63" spans="1:39" s="1" customFormat="1" ht="15.75">
      <c r="A63" s="173" t="s">
        <v>102</v>
      </c>
      <c r="B63" s="24"/>
      <c r="C63" s="24"/>
      <c r="D63" s="24"/>
      <c r="E63" s="3"/>
      <c r="F63" s="14"/>
      <c r="G63" s="85"/>
      <c r="H63" s="85"/>
      <c r="I63" s="95"/>
      <c r="J63" s="5"/>
      <c r="L63" s="222"/>
      <c r="AM63" s="223"/>
    </row>
    <row r="64" spans="1:39" s="1" customFormat="1" ht="15.75">
      <c r="A64" s="173" t="s">
        <v>103</v>
      </c>
      <c r="B64" s="24"/>
      <c r="C64" s="24"/>
      <c r="D64" s="24"/>
      <c r="E64" s="3"/>
      <c r="F64" s="14"/>
      <c r="G64" s="85"/>
      <c r="H64" s="85"/>
      <c r="I64" s="95"/>
      <c r="J64" s="5"/>
      <c r="L64" s="222"/>
      <c r="AM64" s="223"/>
    </row>
    <row r="65" spans="1:39" s="1" customFormat="1" ht="15.75">
      <c r="A65" s="174" t="s">
        <v>624</v>
      </c>
      <c r="B65" s="24"/>
      <c r="C65" s="24" t="s">
        <v>287</v>
      </c>
      <c r="D65" s="24" t="s">
        <v>355</v>
      </c>
      <c r="E65" s="3">
        <v>0.19</v>
      </c>
      <c r="F65" s="14">
        <f>IF(D65="ag-01",0.12,IF(D65="ag-04",0.13,IF(D65="ar-03",12.03,IF(D65="ar-08",16,IF(D65="op-02",4.31,IF(D65="op-01",6.89))))))</f>
        <v>0.12</v>
      </c>
      <c r="G65" s="25">
        <f>E65*F65</f>
        <v>0.0228</v>
      </c>
      <c r="I65" s="95">
        <f>SUM(G65:H69)</f>
        <v>3.33329</v>
      </c>
      <c r="J65" s="5"/>
      <c r="L65" s="222"/>
      <c r="AM65" s="223"/>
    </row>
    <row r="66" spans="1:39" s="1" customFormat="1" ht="15.75">
      <c r="A66" s="174" t="s">
        <v>843</v>
      </c>
      <c r="B66" s="24"/>
      <c r="C66" s="24" t="s">
        <v>287</v>
      </c>
      <c r="D66" s="24" t="s">
        <v>844</v>
      </c>
      <c r="E66" s="3">
        <v>0.38</v>
      </c>
      <c r="F66" s="14">
        <f>IF(D66="ag-01",0.12,IF(D66="ag-04",0.13,IF(D66="ar-03",12.03,IF(D66="ar-08",16,IF(D66="op-02",4.31,IF(D66="op-01",6.89))))))</f>
        <v>0.13</v>
      </c>
      <c r="G66" s="25">
        <f>E66*F66</f>
        <v>0.0494</v>
      </c>
      <c r="I66" s="95"/>
      <c r="J66" s="5"/>
      <c r="L66" s="222"/>
      <c r="AM66" s="223"/>
    </row>
    <row r="67" spans="1:39" s="1" customFormat="1" ht="15.75">
      <c r="A67" s="174" t="s">
        <v>559</v>
      </c>
      <c r="B67" s="24"/>
      <c r="C67" s="24" t="s">
        <v>634</v>
      </c>
      <c r="D67" s="24" t="s">
        <v>560</v>
      </c>
      <c r="E67" s="3">
        <v>0.003</v>
      </c>
      <c r="F67" s="14">
        <f>IF(D67="ag-01",0.12,IF(D67="ag-04",0.13,IF(D67="ar-03",12.03,IF(D67="ar-08",16,IF(D67="op-02",4.31,IF(D67="op-01",6.89))))))</f>
        <v>12.03</v>
      </c>
      <c r="G67" s="25">
        <f>E67*F67</f>
        <v>0.03609</v>
      </c>
      <c r="I67" s="95"/>
      <c r="J67" s="5"/>
      <c r="L67" s="222"/>
      <c r="AM67" s="223"/>
    </row>
    <row r="68" spans="1:39" s="1" customFormat="1" ht="15.75">
      <c r="A68" s="174" t="s">
        <v>289</v>
      </c>
      <c r="B68" s="24"/>
      <c r="C68" s="24" t="s">
        <v>228</v>
      </c>
      <c r="D68" s="24" t="s">
        <v>290</v>
      </c>
      <c r="E68" s="3">
        <v>0.36</v>
      </c>
      <c r="F68" s="14">
        <f>+C92</f>
        <v>6.89</v>
      </c>
      <c r="H68" s="25">
        <f>E68*F68</f>
        <v>2.4804</v>
      </c>
      <c r="I68" s="95"/>
      <c r="J68" s="5"/>
      <c r="L68" s="222"/>
      <c r="AM68" s="223"/>
    </row>
    <row r="69" spans="1:39" s="1" customFormat="1" ht="15.75">
      <c r="A69" s="174" t="s">
        <v>227</v>
      </c>
      <c r="B69" s="24"/>
      <c r="C69" s="24" t="s">
        <v>228</v>
      </c>
      <c r="D69" s="24" t="s">
        <v>229</v>
      </c>
      <c r="E69" s="3">
        <v>0.17</v>
      </c>
      <c r="F69" s="14">
        <f>+C93</f>
        <v>4.38</v>
      </c>
      <c r="H69" s="25">
        <f>E69*F69</f>
        <v>0.7446</v>
      </c>
      <c r="I69" s="95"/>
      <c r="J69" s="5"/>
      <c r="L69" s="222"/>
      <c r="AM69" s="223"/>
    </row>
    <row r="70" spans="1:39" ht="16.5" thickBot="1">
      <c r="A70" s="90"/>
      <c r="B70" s="72"/>
      <c r="C70" s="28"/>
      <c r="D70" s="28"/>
      <c r="E70" s="8"/>
      <c r="F70" s="73"/>
      <c r="G70" s="252">
        <f>SUM(G65:G67)</f>
        <v>0.10829</v>
      </c>
      <c r="H70" s="252">
        <f>SUM(H68:H69)</f>
        <v>3.225</v>
      </c>
      <c r="I70" s="88"/>
      <c r="J70" s="11"/>
      <c r="L70" s="220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21"/>
    </row>
    <row r="71" spans="1:39" ht="16.5" thickTop="1">
      <c r="A71" s="168">
        <v>17.8</v>
      </c>
      <c r="B71" s="113"/>
      <c r="C71" s="69"/>
      <c r="D71" s="69"/>
      <c r="E71" s="70"/>
      <c r="F71" s="139"/>
      <c r="G71" s="115"/>
      <c r="H71" s="115"/>
      <c r="I71" s="89"/>
      <c r="J71" s="71"/>
      <c r="L71" s="220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21"/>
    </row>
    <row r="72" spans="1:39" s="1" customFormat="1" ht="15.75">
      <c r="A72" s="173" t="s">
        <v>111</v>
      </c>
      <c r="B72" s="24"/>
      <c r="C72" s="24"/>
      <c r="D72" s="24"/>
      <c r="E72" s="3"/>
      <c r="F72" s="14"/>
      <c r="G72" s="85"/>
      <c r="H72" s="85"/>
      <c r="I72" s="95"/>
      <c r="J72" s="5"/>
      <c r="L72" s="222"/>
      <c r="AM72" s="223"/>
    </row>
    <row r="73" spans="1:39" s="1" customFormat="1" ht="15.75">
      <c r="A73" s="173" t="s">
        <v>112</v>
      </c>
      <c r="B73" s="24"/>
      <c r="C73" s="24"/>
      <c r="D73" s="24"/>
      <c r="E73" s="3"/>
      <c r="F73" s="14"/>
      <c r="G73" s="85"/>
      <c r="H73" s="85"/>
      <c r="I73" s="95"/>
      <c r="J73" s="5"/>
      <c r="L73" s="222"/>
      <c r="AM73" s="223"/>
    </row>
    <row r="74" spans="1:39" s="1" customFormat="1" ht="15.75">
      <c r="A74" s="173" t="s">
        <v>113</v>
      </c>
      <c r="B74" s="24"/>
      <c r="C74" s="24"/>
      <c r="D74" s="24"/>
      <c r="E74" s="3"/>
      <c r="F74" s="14"/>
      <c r="G74" s="85"/>
      <c r="H74" s="85"/>
      <c r="I74" s="95"/>
      <c r="J74" s="5"/>
      <c r="L74" s="222"/>
      <c r="AM74" s="223"/>
    </row>
    <row r="75" spans="1:39" s="1" customFormat="1" ht="15.75">
      <c r="A75" s="174" t="s">
        <v>624</v>
      </c>
      <c r="B75" s="24"/>
      <c r="C75" s="24" t="s">
        <v>287</v>
      </c>
      <c r="D75" s="24" t="s">
        <v>355</v>
      </c>
      <c r="E75" s="3">
        <v>0.67</v>
      </c>
      <c r="F75" s="14">
        <f>IF(D75="ag-01",0.12,IF(D75="ag-04",0.13,IF(D75="ar-03",12.03,IF(D75="ar-08",16,IF(D75="op-02",4.31,IF(D75="op-01",6.89))))))</f>
        <v>0.12</v>
      </c>
      <c r="G75" s="25">
        <f>E75*F75</f>
        <v>0.0804</v>
      </c>
      <c r="I75" s="95">
        <f>SUM(G75:H79)</f>
        <v>3.35742</v>
      </c>
      <c r="J75" s="5"/>
      <c r="L75" s="222"/>
      <c r="AM75" s="223"/>
    </row>
    <row r="76" spans="1:39" s="1" customFormat="1" ht="15.75">
      <c r="A76" s="174" t="s">
        <v>843</v>
      </c>
      <c r="B76" s="24"/>
      <c r="C76" s="24" t="s">
        <v>287</v>
      </c>
      <c r="D76" s="24" t="s">
        <v>844</v>
      </c>
      <c r="E76" s="3">
        <v>0.56</v>
      </c>
      <c r="F76" s="14">
        <f>IF(D76="ag-01",0.12,IF(D76="ag-04",0.13,IF(D76="ar-03",12.03,IF(D76="ar-08",16,IF(D76="op-02",4.31,IF(D76="op-01",6.89))))))</f>
        <v>0.13</v>
      </c>
      <c r="G76" s="25">
        <f>E76*F76</f>
        <v>0.0728</v>
      </c>
      <c r="I76" s="95"/>
      <c r="J76" s="5"/>
      <c r="L76" s="222"/>
      <c r="AM76" s="223"/>
    </row>
    <row r="77" spans="1:39" s="1" customFormat="1" ht="15.75">
      <c r="A77" s="174" t="s">
        <v>559</v>
      </c>
      <c r="B77" s="24"/>
      <c r="C77" s="24" t="s">
        <v>634</v>
      </c>
      <c r="D77" s="24" t="s">
        <v>560</v>
      </c>
      <c r="E77" s="3">
        <v>0.004</v>
      </c>
      <c r="F77" s="14">
        <f>IF(D77="ag-01",0.12,IF(D77="ag-04",0.13,IF(D77="ar-03",12.03,IF(D77="ar-08",16,IF(D77="op-02",4.31,IF(D77="op-01",6.89))))))</f>
        <v>12.03</v>
      </c>
      <c r="G77" s="25">
        <f>E77*F77</f>
        <v>0.048119999999999996</v>
      </c>
      <c r="I77" s="95"/>
      <c r="J77" s="5"/>
      <c r="L77" s="222"/>
      <c r="AM77" s="223"/>
    </row>
    <row r="78" spans="1:39" s="1" customFormat="1" ht="15.75">
      <c r="A78" s="174" t="s">
        <v>289</v>
      </c>
      <c r="B78" s="24"/>
      <c r="C78" s="24" t="s">
        <v>228</v>
      </c>
      <c r="D78" s="24" t="s">
        <v>290</v>
      </c>
      <c r="E78" s="3">
        <v>0.35</v>
      </c>
      <c r="F78" s="14">
        <f>+C92</f>
        <v>6.89</v>
      </c>
      <c r="H78" s="25">
        <f>E78*F78</f>
        <v>2.4114999999999998</v>
      </c>
      <c r="I78" s="95"/>
      <c r="J78" s="5"/>
      <c r="L78" s="222"/>
      <c r="AM78" s="223"/>
    </row>
    <row r="79" spans="1:39" s="1" customFormat="1" ht="15.75">
      <c r="A79" s="174" t="s">
        <v>227</v>
      </c>
      <c r="B79" s="24"/>
      <c r="C79" s="24" t="s">
        <v>228</v>
      </c>
      <c r="D79" s="24" t="s">
        <v>229</v>
      </c>
      <c r="E79" s="3">
        <v>0.17</v>
      </c>
      <c r="F79" s="14">
        <f>+C93</f>
        <v>4.38</v>
      </c>
      <c r="H79" s="25">
        <f>E79*F79</f>
        <v>0.7446</v>
      </c>
      <c r="I79" s="95"/>
      <c r="J79" s="5"/>
      <c r="L79" s="222"/>
      <c r="AM79" s="223"/>
    </row>
    <row r="80" spans="1:39" ht="16.5" thickBot="1">
      <c r="A80" s="90"/>
      <c r="B80" s="72"/>
      <c r="C80" s="28"/>
      <c r="D80" s="28"/>
      <c r="E80" s="8"/>
      <c r="F80" s="73"/>
      <c r="G80" s="252">
        <f>SUM(G75:G77)</f>
        <v>0.20132</v>
      </c>
      <c r="H80" s="252">
        <f>SUM(H78:H79)</f>
        <v>3.1561</v>
      </c>
      <c r="I80" s="88"/>
      <c r="J80" s="11"/>
      <c r="L80" s="220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21"/>
    </row>
    <row r="81" spans="1:39" ht="16.5" thickTop="1">
      <c r="A81" s="168">
        <v>17.9</v>
      </c>
      <c r="B81" s="113"/>
      <c r="C81" s="69"/>
      <c r="D81" s="69"/>
      <c r="E81" s="70"/>
      <c r="F81" s="139"/>
      <c r="G81" s="115"/>
      <c r="H81" s="213"/>
      <c r="I81" s="89"/>
      <c r="J81" s="153"/>
      <c r="L81" s="220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21"/>
    </row>
    <row r="82" spans="1:39" s="1" customFormat="1" ht="15.75">
      <c r="A82" s="173" t="s">
        <v>114</v>
      </c>
      <c r="B82" s="24"/>
      <c r="C82" s="24"/>
      <c r="D82" s="24"/>
      <c r="E82" s="3"/>
      <c r="F82" s="14"/>
      <c r="G82" s="85"/>
      <c r="H82" s="85"/>
      <c r="I82" s="95"/>
      <c r="J82" s="5"/>
      <c r="L82" s="222"/>
      <c r="AM82" s="223"/>
    </row>
    <row r="83" spans="1:39" s="1" customFormat="1" ht="15.75">
      <c r="A83" s="173" t="s">
        <v>115</v>
      </c>
      <c r="B83" s="24"/>
      <c r="C83" s="24"/>
      <c r="D83" s="24"/>
      <c r="E83" s="3"/>
      <c r="F83" s="14"/>
      <c r="G83" s="85"/>
      <c r="H83" s="85"/>
      <c r="I83" s="95"/>
      <c r="J83" s="5"/>
      <c r="L83" s="222"/>
      <c r="AM83" s="223"/>
    </row>
    <row r="84" spans="1:39" s="1" customFormat="1" ht="15.75">
      <c r="A84" s="173" t="s">
        <v>116</v>
      </c>
      <c r="B84" s="24"/>
      <c r="C84" s="24"/>
      <c r="D84" s="24"/>
      <c r="E84" s="3"/>
      <c r="F84" s="14"/>
      <c r="G84" s="85"/>
      <c r="H84" s="85"/>
      <c r="I84" s="95"/>
      <c r="J84" s="5"/>
      <c r="L84" s="222"/>
      <c r="AM84" s="223"/>
    </row>
    <row r="85" spans="1:39" s="1" customFormat="1" ht="15.75">
      <c r="A85" s="174" t="s">
        <v>117</v>
      </c>
      <c r="B85" s="24"/>
      <c r="C85" s="24" t="s">
        <v>574</v>
      </c>
      <c r="D85" s="24" t="s">
        <v>881</v>
      </c>
      <c r="E85" s="3">
        <v>2</v>
      </c>
      <c r="F85" s="14">
        <f>IF(D85="md-05",0.2,IF(D85="op-02",4.31,IF(D85="op-01",6.89)))</f>
        <v>0.2</v>
      </c>
      <c r="G85" s="25">
        <f>E85*F85</f>
        <v>0.4</v>
      </c>
      <c r="I85" s="95">
        <f>SUM(G85:H87)</f>
        <v>3.5300000000000002</v>
      </c>
      <c r="J85" s="5"/>
      <c r="L85" s="222"/>
      <c r="AM85" s="223"/>
    </row>
    <row r="86" spans="1:39" s="1" customFormat="1" ht="15.75">
      <c r="A86" s="174" t="s">
        <v>289</v>
      </c>
      <c r="B86" s="24"/>
      <c r="C86" s="24" t="s">
        <v>228</v>
      </c>
      <c r="D86" s="24" t="s">
        <v>290</v>
      </c>
      <c r="E86" s="3">
        <v>0.2</v>
      </c>
      <c r="F86" s="14">
        <f>+C92</f>
        <v>6.89</v>
      </c>
      <c r="H86" s="25">
        <f>E86*F86</f>
        <v>1.3780000000000001</v>
      </c>
      <c r="I86" s="95"/>
      <c r="J86" s="5"/>
      <c r="L86" s="222"/>
      <c r="AM86" s="223"/>
    </row>
    <row r="87" spans="1:39" s="1" customFormat="1" ht="15.75">
      <c r="A87" s="174" t="s">
        <v>227</v>
      </c>
      <c r="B87" s="24"/>
      <c r="C87" s="24" t="s">
        <v>228</v>
      </c>
      <c r="D87" s="24" t="s">
        <v>229</v>
      </c>
      <c r="E87" s="3">
        <v>0.4</v>
      </c>
      <c r="F87" s="14">
        <f>+C93</f>
        <v>4.38</v>
      </c>
      <c r="H87" s="25">
        <f>E87*F87</f>
        <v>1.752</v>
      </c>
      <c r="I87" s="95"/>
      <c r="J87" s="5"/>
      <c r="L87" s="222"/>
      <c r="AM87" s="223"/>
    </row>
    <row r="88" spans="1:39" ht="16.5" thickBot="1">
      <c r="A88" s="93"/>
      <c r="B88" s="78"/>
      <c r="C88" s="34"/>
      <c r="D88" s="34"/>
      <c r="E88" s="18"/>
      <c r="F88" s="79"/>
      <c r="G88" s="66">
        <f>E85*F85</f>
        <v>0.4</v>
      </c>
      <c r="H88" s="263">
        <f>SUM(H86:H87)</f>
        <v>3.13</v>
      </c>
      <c r="I88" s="92"/>
      <c r="J88" s="20"/>
      <c r="L88" s="220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21"/>
    </row>
    <row r="89" spans="1:39" ht="16.5" thickTop="1">
      <c r="A89" s="22"/>
      <c r="B89" s="40"/>
      <c r="C89" s="40"/>
      <c r="D89" s="40"/>
      <c r="E89" s="23"/>
      <c r="F89" s="21"/>
      <c r="G89" s="21"/>
      <c r="H89" s="21"/>
      <c r="I89" s="21"/>
      <c r="J89" s="21"/>
      <c r="L89" s="224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6"/>
    </row>
    <row r="90" spans="1:10" ht="15.75">
      <c r="A90" s="22"/>
      <c r="B90" s="40"/>
      <c r="C90" s="40"/>
      <c r="D90" s="40"/>
      <c r="E90" s="23"/>
      <c r="F90" s="21"/>
      <c r="G90" s="21"/>
      <c r="H90" s="21"/>
      <c r="I90" s="21"/>
      <c r="J90" s="21"/>
    </row>
    <row r="91" spans="1:10" ht="15.75">
      <c r="A91" s="22"/>
      <c r="B91" s="40"/>
      <c r="C91" s="40"/>
      <c r="D91" s="40"/>
      <c r="E91" s="23"/>
      <c r="F91" s="21"/>
      <c r="G91" s="21"/>
      <c r="H91" s="21"/>
      <c r="I91" s="21"/>
      <c r="J91" s="21"/>
    </row>
    <row r="92" spans="1:10" ht="15.75">
      <c r="A92" s="22"/>
      <c r="B92" s="301" t="s">
        <v>290</v>
      </c>
      <c r="C92" s="40">
        <v>6.89</v>
      </c>
      <c r="D92" s="40"/>
      <c r="E92" s="23"/>
      <c r="F92" s="21"/>
      <c r="G92" s="21"/>
      <c r="H92" s="21"/>
      <c r="I92" s="21"/>
      <c r="J92" s="21"/>
    </row>
    <row r="93" spans="1:10" ht="15.75">
      <c r="A93" s="22"/>
      <c r="B93" s="301" t="s">
        <v>229</v>
      </c>
      <c r="C93" s="40">
        <v>4.38</v>
      </c>
      <c r="D93" s="40"/>
      <c r="E93" s="23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2.7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2.7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2.7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</sheetData>
  <printOptions/>
  <pageMargins left="0.037401575" right="0.037401575" top="1" bottom="1" header="0.511811024" footer="0.511811024"/>
  <pageSetup horizontalDpi="200" verticalDpi="200" orientation="landscape" paperSize="5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02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14" sqref="C114"/>
    </sheetView>
  </sheetViews>
  <sheetFormatPr defaultColWidth="11.421875" defaultRowHeight="12.75"/>
  <cols>
    <col min="1" max="1" width="53.57421875" style="0" customWidth="1"/>
    <col min="2" max="2" width="5.421875" style="0" customWidth="1"/>
    <col min="3" max="4" width="8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9.00390625" style="0" customWidth="1"/>
    <col min="9" max="9" width="10.57421875" style="0" customWidth="1"/>
    <col min="10" max="10" width="64.57421875" style="0" bestFit="1" customWidth="1"/>
    <col min="11" max="20" width="11.421875" style="21" customWidth="1"/>
  </cols>
  <sheetData>
    <row r="1" spans="1:10" ht="17.25" thickBot="1" thickTop="1">
      <c r="A1" s="282" t="s">
        <v>118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20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10" ht="16.5" thickTop="1">
      <c r="A3" s="178">
        <v>18.1</v>
      </c>
      <c r="B3" s="124"/>
      <c r="C3" s="124"/>
      <c r="D3" s="141"/>
      <c r="E3" s="141"/>
      <c r="F3" s="141"/>
      <c r="G3" s="124"/>
      <c r="H3" s="141"/>
      <c r="I3" s="124"/>
      <c r="J3" s="169" t="s">
        <v>119</v>
      </c>
    </row>
    <row r="4" spans="1:20" s="1" customFormat="1" ht="15.75">
      <c r="A4" s="123" t="s">
        <v>120</v>
      </c>
      <c r="B4" s="125"/>
      <c r="C4" s="125"/>
      <c r="D4" s="126"/>
      <c r="E4" s="126"/>
      <c r="F4" s="126"/>
      <c r="G4" s="125"/>
      <c r="H4" s="126"/>
      <c r="I4" s="125"/>
      <c r="J4" s="152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s="1" customFormat="1" ht="15.75">
      <c r="A5" s="123" t="s">
        <v>121</v>
      </c>
      <c r="B5" s="125"/>
      <c r="C5" s="125"/>
      <c r="D5" s="126"/>
      <c r="E5" s="126"/>
      <c r="F5" s="126"/>
      <c r="G5" s="125"/>
      <c r="H5" s="126"/>
      <c r="I5" s="125"/>
      <c r="J5" s="152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1" customFormat="1" ht="15.75">
      <c r="A6" s="137" t="s">
        <v>122</v>
      </c>
      <c r="B6" s="24"/>
      <c r="C6" s="24" t="s">
        <v>294</v>
      </c>
      <c r="D6" s="24" t="s">
        <v>123</v>
      </c>
      <c r="E6" s="3">
        <v>1.05</v>
      </c>
      <c r="F6" s="14">
        <f>IF(D6="az-01",4.8,IF(D6="pd-08",0.37,IF(D6="pd-07",0.94,IF(D6="az-02",6,IF(D6="op-02",4.31,IF(D6="op-01",6.89))))))</f>
        <v>4.8</v>
      </c>
      <c r="G6" s="25">
        <f>E6*F6</f>
        <v>5.04</v>
      </c>
      <c r="I6" s="95">
        <f>SUM(G6:H10)</f>
        <v>16.3506</v>
      </c>
      <c r="J6" s="5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" customFormat="1" ht="15.75">
      <c r="A7" s="101" t="s">
        <v>124</v>
      </c>
      <c r="B7" s="24"/>
      <c r="C7" s="24" t="s">
        <v>287</v>
      </c>
      <c r="D7" s="24" t="s">
        <v>76</v>
      </c>
      <c r="E7" s="3">
        <v>3</v>
      </c>
      <c r="F7" s="14">
        <f>IF(D7="az-01",4.8,IF(D7="pd-08",0.37,IF(D7="pd-07",0.94,IF(D7="az-02",6,IF(D7="op-02",4.31,IF(D7="op-01",6.89))))))</f>
        <v>0.37</v>
      </c>
      <c r="G7" s="25">
        <f>E7*F7</f>
        <v>1.1099999999999999</v>
      </c>
      <c r="I7" s="95"/>
      <c r="J7" s="5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1" customFormat="1" ht="15.75">
      <c r="A8" s="101" t="s">
        <v>68</v>
      </c>
      <c r="B8" s="24"/>
      <c r="C8" s="24" t="s">
        <v>287</v>
      </c>
      <c r="D8" s="24" t="s">
        <v>69</v>
      </c>
      <c r="E8" s="3">
        <v>0.2</v>
      </c>
      <c r="F8" s="14">
        <f>IF(D8="az-01",4.8,IF(D8="pd-08",0.37,IF(D8="pd-07",0.94,IF(D8="az-02",6,IF(D8="op-02",4.31,IF(D8="op-01",6.89))))))</f>
        <v>0.94</v>
      </c>
      <c r="G8" s="25">
        <f>E8*F8</f>
        <v>0.188</v>
      </c>
      <c r="I8" s="95"/>
      <c r="J8" s="5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1" customFormat="1" ht="15.75">
      <c r="A9" s="101" t="s">
        <v>289</v>
      </c>
      <c r="B9" s="24"/>
      <c r="C9" s="24" t="s">
        <v>228</v>
      </c>
      <c r="D9" s="24" t="s">
        <v>290</v>
      </c>
      <c r="E9" s="3">
        <v>1.04</v>
      </c>
      <c r="F9" s="14">
        <f>+C112</f>
        <v>6.89</v>
      </c>
      <c r="H9" s="25">
        <f>E9*F9</f>
        <v>7.1655999999999995</v>
      </c>
      <c r="I9" s="95"/>
      <c r="J9" s="5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5.75">
      <c r="A10" s="101" t="s">
        <v>227</v>
      </c>
      <c r="B10" s="24"/>
      <c r="C10" s="24" t="s">
        <v>228</v>
      </c>
      <c r="D10" s="24" t="s">
        <v>229</v>
      </c>
      <c r="E10" s="3">
        <v>0.65</v>
      </c>
      <c r="F10" s="14">
        <f>+C113</f>
        <v>4.38</v>
      </c>
      <c r="H10" s="25">
        <f>E10*F10</f>
        <v>2.847</v>
      </c>
      <c r="I10" s="95"/>
      <c r="J10" s="5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10" ht="16.5" thickBot="1">
      <c r="A11" s="90"/>
      <c r="B11" s="72"/>
      <c r="C11" s="28"/>
      <c r="D11" s="28"/>
      <c r="E11" s="8"/>
      <c r="F11" s="73"/>
      <c r="G11" s="252">
        <f>SUM(G6:G8)</f>
        <v>6.338</v>
      </c>
      <c r="H11" s="252">
        <f>SUM(H9:H10)</f>
        <v>10.012599999999999</v>
      </c>
      <c r="I11" s="88"/>
      <c r="J11" s="11"/>
    </row>
    <row r="12" spans="1:10" ht="16.5" thickTop="1">
      <c r="A12" s="168">
        <v>18.2</v>
      </c>
      <c r="B12" s="113"/>
      <c r="C12" s="69"/>
      <c r="D12" s="69"/>
      <c r="E12" s="70"/>
      <c r="F12" s="139"/>
      <c r="G12" s="115"/>
      <c r="H12" s="115"/>
      <c r="I12" s="89"/>
      <c r="J12" s="71"/>
    </row>
    <row r="13" spans="1:20" s="1" customFormat="1" ht="15.75">
      <c r="A13" s="123" t="s">
        <v>125</v>
      </c>
      <c r="B13" s="24"/>
      <c r="C13" s="24"/>
      <c r="D13" s="24"/>
      <c r="E13" s="3"/>
      <c r="F13" s="14"/>
      <c r="G13" s="85"/>
      <c r="H13" s="85"/>
      <c r="I13" s="95"/>
      <c r="J13" s="5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1" customFormat="1" ht="15.75">
      <c r="A14" s="123" t="s">
        <v>126</v>
      </c>
      <c r="B14" s="24"/>
      <c r="C14" s="24"/>
      <c r="D14" s="24"/>
      <c r="E14" s="3"/>
      <c r="F14" s="14"/>
      <c r="G14" s="85"/>
      <c r="H14" s="85"/>
      <c r="I14" s="95"/>
      <c r="J14" s="5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15.75">
      <c r="A15" s="123" t="s">
        <v>127</v>
      </c>
      <c r="B15" s="24"/>
      <c r="C15" s="24"/>
      <c r="D15" s="24"/>
      <c r="E15" s="3"/>
      <c r="F15" s="14"/>
      <c r="G15" s="85"/>
      <c r="H15" s="85"/>
      <c r="I15" s="95"/>
      <c r="J15" s="5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15.75">
      <c r="A16" s="101" t="s">
        <v>128</v>
      </c>
      <c r="B16" s="24"/>
      <c r="C16" s="24" t="s">
        <v>294</v>
      </c>
      <c r="D16" s="24" t="s">
        <v>129</v>
      </c>
      <c r="E16" s="3">
        <v>1.05</v>
      </c>
      <c r="F16" s="14">
        <f>IF(D16="az-01",4.8,IF(D16="pd-08",0.37,IF(D16="pd-07",0.94,IF(D16="az-02",6,IF(D16="op-02",4.31,IF(D16="op-01",6.89))))))</f>
        <v>6</v>
      </c>
      <c r="G16" s="25">
        <f>E16*F16</f>
        <v>6.300000000000001</v>
      </c>
      <c r="H16" s="25"/>
      <c r="I16" s="95">
        <f>SUM(G16:H20)</f>
        <v>19.7898</v>
      </c>
      <c r="J16" s="5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15.75">
      <c r="A17" s="101" t="s">
        <v>124</v>
      </c>
      <c r="B17" s="24"/>
      <c r="C17" s="24" t="s">
        <v>287</v>
      </c>
      <c r="D17" s="24" t="s">
        <v>76</v>
      </c>
      <c r="E17" s="3">
        <v>3</v>
      </c>
      <c r="F17" s="14">
        <f>IF(D17="az-01",4.8,IF(D17="pd-08",0.37,IF(D17="pd-07",0.94,IF(D17="az-02",6,IF(D17="op-02",4.31,IF(D17="op-01",6.89))))))</f>
        <v>0.37</v>
      </c>
      <c r="G17" s="25">
        <f>E17*F17</f>
        <v>1.1099999999999999</v>
      </c>
      <c r="I17" s="95"/>
      <c r="J17" s="5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s="1" customFormat="1" ht="15.75">
      <c r="A18" s="101" t="s">
        <v>68</v>
      </c>
      <c r="B18" s="24"/>
      <c r="C18" s="24" t="s">
        <v>287</v>
      </c>
      <c r="D18" s="24" t="s">
        <v>69</v>
      </c>
      <c r="E18" s="3">
        <v>0.2</v>
      </c>
      <c r="F18" s="14">
        <f>IF(D18="az-01",4.8,IF(D18="pd-08",0.37,IF(D18="pd-07",0.94,IF(D18="az-02",6,IF(D18="op-02",4.31,IF(D18="op-01",6.89))))))</f>
        <v>0.94</v>
      </c>
      <c r="G18" s="25">
        <f>E18*F18</f>
        <v>0.188</v>
      </c>
      <c r="I18" s="95"/>
      <c r="J18" s="5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s="1" customFormat="1" ht="15.75">
      <c r="A19" s="101" t="s">
        <v>289</v>
      </c>
      <c r="B19" s="24"/>
      <c r="C19" s="24" t="s">
        <v>228</v>
      </c>
      <c r="D19" s="24" t="s">
        <v>290</v>
      </c>
      <c r="E19" s="3">
        <v>1.28</v>
      </c>
      <c r="F19" s="14">
        <f>+C112</f>
        <v>6.89</v>
      </c>
      <c r="H19" s="25">
        <f>E19*F19</f>
        <v>8.8192</v>
      </c>
      <c r="I19" s="95"/>
      <c r="J19" s="5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1" customFormat="1" ht="15.75">
      <c r="A20" s="101" t="s">
        <v>227</v>
      </c>
      <c r="B20" s="24"/>
      <c r="C20" s="24" t="s">
        <v>228</v>
      </c>
      <c r="D20" s="24" t="s">
        <v>229</v>
      </c>
      <c r="E20" s="3">
        <v>0.77</v>
      </c>
      <c r="F20" s="14">
        <f>+C113</f>
        <v>4.38</v>
      </c>
      <c r="H20" s="25">
        <f>E20*F20</f>
        <v>3.3726</v>
      </c>
      <c r="I20" s="95"/>
      <c r="J20" s="5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10" ht="16.5" thickBot="1">
      <c r="A21" s="90"/>
      <c r="B21" s="72"/>
      <c r="C21" s="28"/>
      <c r="D21" s="28"/>
      <c r="E21" s="8"/>
      <c r="F21" s="73"/>
      <c r="G21" s="252">
        <f>SUM(G16:G18)</f>
        <v>7.598</v>
      </c>
      <c r="H21" s="67">
        <f>SUM(H19:H20)</f>
        <v>12.1918</v>
      </c>
      <c r="I21" s="88"/>
      <c r="J21" s="11"/>
    </row>
    <row r="22" spans="1:10" ht="16.5" thickTop="1">
      <c r="A22" s="227">
        <v>18.3</v>
      </c>
      <c r="B22" s="113"/>
      <c r="C22" s="69"/>
      <c r="D22" s="69"/>
      <c r="E22" s="70"/>
      <c r="F22" s="139"/>
      <c r="G22" s="115"/>
      <c r="H22" s="115"/>
      <c r="I22" s="89"/>
      <c r="J22" s="71"/>
    </row>
    <row r="23" spans="1:20" s="1" customFormat="1" ht="15.75">
      <c r="A23" s="123" t="s">
        <v>130</v>
      </c>
      <c r="B23" s="24"/>
      <c r="C23" s="24"/>
      <c r="D23" s="24"/>
      <c r="E23" s="3"/>
      <c r="F23" s="14"/>
      <c r="G23" s="85"/>
      <c r="H23" s="85"/>
      <c r="I23" s="95"/>
      <c r="J23" s="5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" customFormat="1" ht="15.75">
      <c r="A24" s="123" t="s">
        <v>131</v>
      </c>
      <c r="B24" s="24"/>
      <c r="C24" s="24"/>
      <c r="D24" s="24"/>
      <c r="E24" s="3"/>
      <c r="F24" s="14"/>
      <c r="G24" s="85"/>
      <c r="H24" s="85"/>
      <c r="I24" s="95"/>
      <c r="J24" s="5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" customFormat="1" ht="15.75">
      <c r="A25" s="101" t="s">
        <v>128</v>
      </c>
      <c r="B25" s="24"/>
      <c r="C25" s="24" t="s">
        <v>294</v>
      </c>
      <c r="D25" s="24" t="s">
        <v>123</v>
      </c>
      <c r="E25" s="3">
        <v>1</v>
      </c>
      <c r="F25" s="14">
        <f>IF(D25="az-01",4.8,IF(D25="pd-08",0.37,IF(D25="pd-07",0.94,IF(D25="az-02",6,IF(D25="op-02",4.31,IF(D25="op-01",6.89))))))</f>
        <v>4.8</v>
      </c>
      <c r="G25" s="25">
        <f>E25*F25</f>
        <v>4.8</v>
      </c>
      <c r="I25" s="95">
        <f>SUM(G25:H29)</f>
        <v>17.927599999999998</v>
      </c>
      <c r="J25" s="5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" customFormat="1" ht="15.75">
      <c r="A26" s="101" t="s">
        <v>124</v>
      </c>
      <c r="B26" s="24"/>
      <c r="C26" s="24" t="s">
        <v>287</v>
      </c>
      <c r="D26" s="24" t="s">
        <v>76</v>
      </c>
      <c r="E26" s="3">
        <v>3</v>
      </c>
      <c r="F26" s="14">
        <f>IF(D26="az-01",4.8,IF(D26="pd-08",0.37,IF(D26="pd-07",0.94,IF(D26="az-02",6,IF(D26="op-02",4.31,IF(D26="op-01",6.89))))))</f>
        <v>0.37</v>
      </c>
      <c r="G26" s="25">
        <f>E26*F26</f>
        <v>1.1099999999999999</v>
      </c>
      <c r="I26" s="95"/>
      <c r="J26" s="5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s="1" customFormat="1" ht="15.75">
      <c r="A27" s="101" t="s">
        <v>68</v>
      </c>
      <c r="B27" s="24"/>
      <c r="C27" s="24" t="s">
        <v>287</v>
      </c>
      <c r="D27" s="24" t="s">
        <v>69</v>
      </c>
      <c r="E27" s="3">
        <v>0.5</v>
      </c>
      <c r="F27" s="14">
        <f>IF(D27="az-01",4.8,IF(D27="pd-08",0.37,IF(D27="pd-07",0.94,IF(D27="az-02",6,IF(D27="op-02",4.31,IF(D27="op-01",6.89))))))</f>
        <v>0.94</v>
      </c>
      <c r="G27" s="25">
        <f>E27*F27</f>
        <v>0.47</v>
      </c>
      <c r="I27" s="95"/>
      <c r="J27" s="5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1" customFormat="1" ht="15.75">
      <c r="A28" s="101" t="s">
        <v>289</v>
      </c>
      <c r="B28" s="24"/>
      <c r="C28" s="24" t="s">
        <v>228</v>
      </c>
      <c r="D28" s="24" t="s">
        <v>290</v>
      </c>
      <c r="E28" s="3">
        <v>1.32</v>
      </c>
      <c r="F28" s="14">
        <f>+C112</f>
        <v>6.89</v>
      </c>
      <c r="H28" s="25">
        <f>E28*F28</f>
        <v>9.0948</v>
      </c>
      <c r="I28" s="95"/>
      <c r="J28" s="5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s="1" customFormat="1" ht="15.75">
      <c r="A29" s="101" t="s">
        <v>227</v>
      </c>
      <c r="B29" s="24"/>
      <c r="C29" s="24" t="s">
        <v>228</v>
      </c>
      <c r="D29" s="24" t="s">
        <v>229</v>
      </c>
      <c r="E29" s="3">
        <v>0.56</v>
      </c>
      <c r="F29" s="14">
        <f>+C113</f>
        <v>4.38</v>
      </c>
      <c r="H29" s="25">
        <f>E29*F29</f>
        <v>2.4528000000000003</v>
      </c>
      <c r="I29" s="95"/>
      <c r="J29" s="5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10" ht="16.5" thickBot="1">
      <c r="A30" s="90"/>
      <c r="B30" s="72"/>
      <c r="C30" s="28"/>
      <c r="D30" s="28"/>
      <c r="E30" s="8"/>
      <c r="F30" s="73"/>
      <c r="G30" s="67">
        <f>SUM(G25:G27)</f>
        <v>6.38</v>
      </c>
      <c r="H30" s="67">
        <f>SUM(H28:H29)</f>
        <v>11.5476</v>
      </c>
      <c r="I30" s="88"/>
      <c r="J30" s="11"/>
    </row>
    <row r="31" spans="1:10" ht="16.5" thickTop="1">
      <c r="A31" s="168">
        <v>18.4</v>
      </c>
      <c r="B31" s="113"/>
      <c r="C31" s="69"/>
      <c r="D31" s="69"/>
      <c r="E31" s="70"/>
      <c r="F31" s="139"/>
      <c r="G31" s="115"/>
      <c r="H31" s="115"/>
      <c r="I31" s="89"/>
      <c r="J31" s="71"/>
    </row>
    <row r="32" spans="1:20" s="1" customFormat="1" ht="15.75">
      <c r="A32" s="123" t="s">
        <v>120</v>
      </c>
      <c r="B32" s="24"/>
      <c r="C32" s="24"/>
      <c r="D32" s="24"/>
      <c r="E32" s="3"/>
      <c r="F32" s="14"/>
      <c r="G32" s="85"/>
      <c r="H32" s="85"/>
      <c r="I32" s="95"/>
      <c r="J32" s="5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1" customFormat="1" ht="15.75">
      <c r="A33" s="123" t="s">
        <v>132</v>
      </c>
      <c r="B33" s="24"/>
      <c r="C33" s="24"/>
      <c r="D33" s="24"/>
      <c r="E33" s="3"/>
      <c r="F33" s="14"/>
      <c r="G33" s="85"/>
      <c r="H33" s="85"/>
      <c r="I33" s="95"/>
      <c r="J33" s="5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1" customFormat="1" ht="15.75">
      <c r="A34" s="101" t="s">
        <v>128</v>
      </c>
      <c r="B34" s="24"/>
      <c r="C34" s="24" t="s">
        <v>294</v>
      </c>
      <c r="D34" s="24" t="s">
        <v>123</v>
      </c>
      <c r="E34" s="3">
        <v>1.05</v>
      </c>
      <c r="F34" s="14">
        <f aca="true" t="shared" si="0" ref="F34:F49">IF(D34="az-01",4.8,IF(D34="ar-03",12.03,IF(D34="pd-07",0.94,IF(D34="az-02",6,IF(D34="op-02",4.31,IF(D34="op-01",6.89,IF(D34="ag-01",0.12,IF(D34="ag-04",0.13))))))))</f>
        <v>4.8</v>
      </c>
      <c r="G34" s="25">
        <f>E34*F34</f>
        <v>5.04</v>
      </c>
      <c r="I34" s="95">
        <f>SUM(G34:H40)</f>
        <v>18.38544</v>
      </c>
      <c r="J34" s="5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1" customFormat="1" ht="15.75">
      <c r="A35" s="101" t="s">
        <v>624</v>
      </c>
      <c r="B35" s="24"/>
      <c r="C35" s="24" t="s">
        <v>287</v>
      </c>
      <c r="D35" s="24" t="s">
        <v>355</v>
      </c>
      <c r="E35" s="3">
        <v>2.7</v>
      </c>
      <c r="F35" s="14">
        <f t="shared" si="0"/>
        <v>0.12</v>
      </c>
      <c r="G35" s="25">
        <f>E35*F35</f>
        <v>0.324</v>
      </c>
      <c r="I35" s="95"/>
      <c r="J35" s="5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1" customFormat="1" ht="15.75">
      <c r="A36" s="101" t="s">
        <v>843</v>
      </c>
      <c r="B36" s="24"/>
      <c r="C36" s="24" t="s">
        <v>287</v>
      </c>
      <c r="D36" s="24" t="s">
        <v>844</v>
      </c>
      <c r="E36" s="3">
        <v>2.74</v>
      </c>
      <c r="F36" s="14">
        <f t="shared" si="0"/>
        <v>0.13</v>
      </c>
      <c r="G36" s="25">
        <f>E36*F36</f>
        <v>0.3562</v>
      </c>
      <c r="I36" s="95"/>
      <c r="J36" s="5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s="1" customFormat="1" ht="15.75">
      <c r="A37" s="101" t="s">
        <v>559</v>
      </c>
      <c r="B37" s="24"/>
      <c r="C37" s="24" t="s">
        <v>357</v>
      </c>
      <c r="D37" s="24" t="s">
        <v>560</v>
      </c>
      <c r="E37" s="3">
        <v>0.018</v>
      </c>
      <c r="F37" s="14">
        <f t="shared" si="0"/>
        <v>12.03</v>
      </c>
      <c r="G37" s="25">
        <f>E37*F37</f>
        <v>0.21653999999999998</v>
      </c>
      <c r="I37" s="95"/>
      <c r="J37" s="5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s="1" customFormat="1" ht="15.75">
      <c r="A38" s="101" t="s">
        <v>68</v>
      </c>
      <c r="B38" s="24"/>
      <c r="C38" s="24" t="s">
        <v>287</v>
      </c>
      <c r="D38" s="24" t="s">
        <v>69</v>
      </c>
      <c r="E38" s="3">
        <v>0.2</v>
      </c>
      <c r="F38" s="14">
        <f t="shared" si="0"/>
        <v>0.94</v>
      </c>
      <c r="G38" s="25">
        <f>E38*F38</f>
        <v>0.188</v>
      </c>
      <c r="I38" s="95"/>
      <c r="J38" s="5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1" customFormat="1" ht="15.75">
      <c r="A39" s="101" t="s">
        <v>289</v>
      </c>
      <c r="B39" s="24"/>
      <c r="C39" s="24" t="s">
        <v>228</v>
      </c>
      <c r="D39" s="24" t="s">
        <v>290</v>
      </c>
      <c r="E39" s="3">
        <v>1.29</v>
      </c>
      <c r="F39" s="14">
        <f>+C112</f>
        <v>6.89</v>
      </c>
      <c r="H39" s="25">
        <f>E39*F39</f>
        <v>8.8881</v>
      </c>
      <c r="I39" s="95"/>
      <c r="J39" s="5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1" customFormat="1" ht="15.75">
      <c r="A40" s="101" t="s">
        <v>227</v>
      </c>
      <c r="B40" s="24"/>
      <c r="C40" s="24" t="s">
        <v>228</v>
      </c>
      <c r="D40" s="24" t="s">
        <v>229</v>
      </c>
      <c r="E40" s="3">
        <v>0.77</v>
      </c>
      <c r="F40" s="14">
        <f>+C113</f>
        <v>4.38</v>
      </c>
      <c r="H40" s="25">
        <f>E40*F40</f>
        <v>3.3726</v>
      </c>
      <c r="I40" s="95"/>
      <c r="J40" s="5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10" ht="16.5" thickBot="1">
      <c r="A41" s="90"/>
      <c r="B41" s="72"/>
      <c r="C41" s="28"/>
      <c r="D41" s="28"/>
      <c r="E41" s="8"/>
      <c r="F41" s="73"/>
      <c r="G41" s="252">
        <f>SUM(G34:G38)</f>
        <v>6.12474</v>
      </c>
      <c r="H41" s="67">
        <f>SUM(H39:H40)</f>
        <v>12.2607</v>
      </c>
      <c r="I41" s="88"/>
      <c r="J41" s="11"/>
    </row>
    <row r="42" spans="1:10" ht="16.5" thickTop="1">
      <c r="A42" s="168">
        <v>18.5</v>
      </c>
      <c r="B42" s="113"/>
      <c r="C42" s="69"/>
      <c r="D42" s="69"/>
      <c r="E42" s="70"/>
      <c r="F42" s="139"/>
      <c r="G42" s="115"/>
      <c r="H42" s="115"/>
      <c r="I42" s="89"/>
      <c r="J42" s="71"/>
    </row>
    <row r="43" spans="1:20" s="1" customFormat="1" ht="15.75">
      <c r="A43" s="123" t="s">
        <v>130</v>
      </c>
      <c r="B43" s="24"/>
      <c r="C43" s="24"/>
      <c r="D43" s="24"/>
      <c r="E43" s="3"/>
      <c r="F43" s="14"/>
      <c r="G43" s="85"/>
      <c r="H43" s="85"/>
      <c r="I43" s="95"/>
      <c r="J43" s="5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s="1" customFormat="1" ht="15.75">
      <c r="A44" s="123" t="s">
        <v>132</v>
      </c>
      <c r="B44" s="24"/>
      <c r="C44" s="24"/>
      <c r="D44" s="24"/>
      <c r="E44" s="3"/>
      <c r="F44" s="14"/>
      <c r="G44" s="85"/>
      <c r="H44" s="85"/>
      <c r="I44" s="95"/>
      <c r="J44" s="5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s="1" customFormat="1" ht="15.75">
      <c r="A45" s="101" t="s">
        <v>128</v>
      </c>
      <c r="B45" s="24"/>
      <c r="C45" s="24" t="s">
        <v>294</v>
      </c>
      <c r="D45" s="24" t="s">
        <v>123</v>
      </c>
      <c r="E45" s="3">
        <v>1</v>
      </c>
      <c r="F45" s="14">
        <f t="shared" si="0"/>
        <v>4.8</v>
      </c>
      <c r="G45" s="25">
        <f>E45*F45</f>
        <v>4.8</v>
      </c>
      <c r="I45" s="95">
        <f>SUM(G45:H51)</f>
        <v>20.55104</v>
      </c>
      <c r="J45" s="5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s="1" customFormat="1" ht="15.75">
      <c r="A46" s="101" t="s">
        <v>624</v>
      </c>
      <c r="B46" s="24"/>
      <c r="C46" s="24" t="s">
        <v>287</v>
      </c>
      <c r="D46" s="24" t="s">
        <v>355</v>
      </c>
      <c r="E46" s="3">
        <v>2.7</v>
      </c>
      <c r="F46" s="14">
        <f t="shared" si="0"/>
        <v>0.12</v>
      </c>
      <c r="G46" s="25">
        <f>E46*F46</f>
        <v>0.324</v>
      </c>
      <c r="I46" s="95"/>
      <c r="J46" s="5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s="1" customFormat="1" ht="15.75">
      <c r="A47" s="101" t="s">
        <v>843</v>
      </c>
      <c r="B47" s="24"/>
      <c r="C47" s="24" t="s">
        <v>287</v>
      </c>
      <c r="D47" s="24" t="s">
        <v>844</v>
      </c>
      <c r="E47" s="3">
        <v>2.74</v>
      </c>
      <c r="F47" s="14">
        <f t="shared" si="0"/>
        <v>0.13</v>
      </c>
      <c r="G47" s="25">
        <f>E47*F47</f>
        <v>0.3562</v>
      </c>
      <c r="I47" s="95"/>
      <c r="J47" s="5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s="1" customFormat="1" ht="15.75">
      <c r="A48" s="101" t="s">
        <v>559</v>
      </c>
      <c r="B48" s="24"/>
      <c r="C48" s="24" t="s">
        <v>357</v>
      </c>
      <c r="D48" s="24" t="s">
        <v>560</v>
      </c>
      <c r="E48" s="3">
        <v>0.018</v>
      </c>
      <c r="F48" s="14">
        <f t="shared" si="0"/>
        <v>12.03</v>
      </c>
      <c r="G48" s="25">
        <f>E48*F48</f>
        <v>0.21653999999999998</v>
      </c>
      <c r="I48" s="95"/>
      <c r="J48" s="5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s="1" customFormat="1" ht="15.75">
      <c r="A49" s="101" t="s">
        <v>68</v>
      </c>
      <c r="B49" s="24"/>
      <c r="C49" s="24" t="s">
        <v>287</v>
      </c>
      <c r="D49" s="24" t="s">
        <v>69</v>
      </c>
      <c r="E49" s="3">
        <v>0.5</v>
      </c>
      <c r="F49" s="14">
        <f t="shared" si="0"/>
        <v>0.94</v>
      </c>
      <c r="G49" s="25">
        <f>E49*F49</f>
        <v>0.47</v>
      </c>
      <c r="I49" s="95"/>
      <c r="J49" s="5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s="1" customFormat="1" ht="15.75">
      <c r="A50" s="101" t="s">
        <v>289</v>
      </c>
      <c r="B50" s="24"/>
      <c r="C50" s="24" t="s">
        <v>228</v>
      </c>
      <c r="D50" s="24" t="s">
        <v>290</v>
      </c>
      <c r="E50" s="3">
        <v>1.63</v>
      </c>
      <c r="F50" s="14">
        <f>+C112</f>
        <v>6.89</v>
      </c>
      <c r="H50" s="25">
        <f>E50*F50</f>
        <v>11.230699999999999</v>
      </c>
      <c r="I50" s="95"/>
      <c r="J50" s="5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s="1" customFormat="1" ht="15.75">
      <c r="A51" s="101" t="s">
        <v>227</v>
      </c>
      <c r="B51" s="24"/>
      <c r="C51" s="24" t="s">
        <v>228</v>
      </c>
      <c r="D51" s="24" t="s">
        <v>229</v>
      </c>
      <c r="E51" s="3">
        <v>0.72</v>
      </c>
      <c r="F51" s="14">
        <f>+C113</f>
        <v>4.38</v>
      </c>
      <c r="H51" s="25">
        <f>E51*F51</f>
        <v>3.1536</v>
      </c>
      <c r="I51" s="95"/>
      <c r="J51" s="5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10" ht="16.5" thickBot="1">
      <c r="A52" s="90"/>
      <c r="B52" s="72"/>
      <c r="C52" s="28"/>
      <c r="D52" s="28"/>
      <c r="E52" s="8"/>
      <c r="F52" s="73"/>
      <c r="G52" s="252">
        <f>SUM(G45:G49)</f>
        <v>6.16674</v>
      </c>
      <c r="H52" s="67">
        <f>SUM(H50:H51)</f>
        <v>14.3843</v>
      </c>
      <c r="I52" s="88"/>
      <c r="J52" s="11"/>
    </row>
    <row r="53" spans="1:10" ht="16.5" thickTop="1">
      <c r="A53" s="168">
        <v>18.6</v>
      </c>
      <c r="B53" s="113"/>
      <c r="C53" s="69"/>
      <c r="D53" s="69"/>
      <c r="E53" s="70"/>
      <c r="F53" s="139"/>
      <c r="G53" s="115"/>
      <c r="H53" s="115"/>
      <c r="I53" s="89"/>
      <c r="J53" s="71"/>
    </row>
    <row r="54" spans="1:20" s="1" customFormat="1" ht="15.75">
      <c r="A54" s="123" t="s">
        <v>133</v>
      </c>
      <c r="B54" s="24"/>
      <c r="C54" s="24"/>
      <c r="D54" s="24"/>
      <c r="E54" s="3"/>
      <c r="F54" s="14"/>
      <c r="G54" s="85"/>
      <c r="H54" s="85"/>
      <c r="I54" s="95"/>
      <c r="J54" s="5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s="1" customFormat="1" ht="15.75">
      <c r="A55" s="123" t="s">
        <v>134</v>
      </c>
      <c r="B55" s="24"/>
      <c r="C55" s="24" t="s">
        <v>294</v>
      </c>
      <c r="D55" s="24" t="s">
        <v>135</v>
      </c>
      <c r="E55" s="3">
        <v>1.05</v>
      </c>
      <c r="F55" s="14">
        <f>IF(D55="az-03",16,IF(D55="ar-03",12.03,IF(D55="pd-07",0.94,IF(D55="az-02",6,IF(D55="op-02",4.31,IF(D55="op-01",6.89,IF(D55="ag-01",0.12,IF(D55="ag-04",0.13))))))))</f>
        <v>16</v>
      </c>
      <c r="G55" s="25">
        <f>E55*F55</f>
        <v>16.8</v>
      </c>
      <c r="I55" s="95">
        <f>SUM(G55:H61)</f>
        <v>31.270260000000004</v>
      </c>
      <c r="J55" s="5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s="1" customFormat="1" ht="15.75">
      <c r="A56" s="101" t="s">
        <v>624</v>
      </c>
      <c r="B56" s="24"/>
      <c r="C56" s="24" t="s">
        <v>287</v>
      </c>
      <c r="D56" s="24" t="s">
        <v>355</v>
      </c>
      <c r="E56" s="3">
        <v>1.8</v>
      </c>
      <c r="F56" s="14">
        <f>IF(D56="az-03",16,IF(D56="ar-03",12.03,IF(D56="pd-07",0.94,IF(D56="az-02",6,IF(D56="op-02",4.31,IF(D56="op-01",6.89,IF(D56="ag-01",0.12,IF(D56="ag-04",0.13))))))))</f>
        <v>0.12</v>
      </c>
      <c r="G56" s="25">
        <f>E56*F56</f>
        <v>0.216</v>
      </c>
      <c r="I56" s="95"/>
      <c r="J56" s="5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s="1" customFormat="1" ht="15.75">
      <c r="A57" s="101" t="s">
        <v>843</v>
      </c>
      <c r="B57" s="24"/>
      <c r="C57" s="24" t="s">
        <v>287</v>
      </c>
      <c r="D57" s="24" t="s">
        <v>844</v>
      </c>
      <c r="E57" s="3">
        <v>1.83</v>
      </c>
      <c r="F57" s="14">
        <f>IF(D57="az-03",16,IF(D57="ar-03",12.03,IF(D57="pd-07",0.94,IF(D57="az-02",6,IF(D57="op-02",4.31,IF(D57="op-01",6.89,IF(D57="ag-01",0.12,IF(D57="ag-04",0.13))))))))</f>
        <v>0.13</v>
      </c>
      <c r="G57" s="25">
        <f>E57*F57</f>
        <v>0.23790000000000003</v>
      </c>
      <c r="I57" s="95"/>
      <c r="J57" s="5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s="1" customFormat="1" ht="15.75">
      <c r="A58" s="101" t="s">
        <v>559</v>
      </c>
      <c r="B58" s="24"/>
      <c r="C58" s="24" t="s">
        <v>357</v>
      </c>
      <c r="D58" s="24" t="s">
        <v>560</v>
      </c>
      <c r="E58" s="3">
        <v>0.012</v>
      </c>
      <c r="F58" s="14">
        <f>IF(D58="az-03",16,IF(D58="ar-03",12.03,IF(D58="pd-07",0.94,IF(D58="az-02",6,IF(D58="op-02",4.31,IF(D58="op-01",6.89,IF(D58="ag-01",0.12,IF(D58="ag-04",0.13))))))))</f>
        <v>12.03</v>
      </c>
      <c r="G58" s="25">
        <f>E58*F58</f>
        <v>0.14436</v>
      </c>
      <c r="I58" s="95"/>
      <c r="J58" s="5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s="1" customFormat="1" ht="15.75">
      <c r="A59" s="101" t="s">
        <v>68</v>
      </c>
      <c r="B59" s="24"/>
      <c r="C59" s="24" t="s">
        <v>287</v>
      </c>
      <c r="D59" s="24" t="s">
        <v>69</v>
      </c>
      <c r="E59" s="3">
        <v>0.7</v>
      </c>
      <c r="F59" s="14">
        <f>IF(D59="az-03",16,IF(D59="ar-03",12.03,IF(D59="pd-07",0.94,IF(D59="az-02",6,IF(D59="op-02",4.31,IF(D59="op-01",6.89,IF(D59="ag-01",0.12,IF(D59="ag-04",0.13))))))))</f>
        <v>0.94</v>
      </c>
      <c r="G59" s="25">
        <f>E59*F59</f>
        <v>0.6579999999999999</v>
      </c>
      <c r="I59" s="95"/>
      <c r="J59" s="5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s="1" customFormat="1" ht="15.75">
      <c r="A60" s="101" t="s">
        <v>289</v>
      </c>
      <c r="B60" s="24"/>
      <c r="C60" s="24" t="s">
        <v>228</v>
      </c>
      <c r="D60" s="24" t="s">
        <v>290</v>
      </c>
      <c r="E60" s="3">
        <v>1.6</v>
      </c>
      <c r="F60" s="14">
        <f>+C112</f>
        <v>6.89</v>
      </c>
      <c r="H60" s="25">
        <f>E60*F60</f>
        <v>11.024000000000001</v>
      </c>
      <c r="I60" s="95"/>
      <c r="J60" s="5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s="1" customFormat="1" ht="15.75">
      <c r="A61" s="101" t="s">
        <v>227</v>
      </c>
      <c r="B61" s="24"/>
      <c r="C61" s="24" t="s">
        <v>228</v>
      </c>
      <c r="D61" s="24" t="s">
        <v>229</v>
      </c>
      <c r="E61" s="3">
        <v>0.5</v>
      </c>
      <c r="F61" s="14">
        <f>+C113</f>
        <v>4.38</v>
      </c>
      <c r="H61" s="25">
        <f>E61*F61</f>
        <v>2.19</v>
      </c>
      <c r="I61" s="95"/>
      <c r="J61" s="5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10" ht="16.5" thickBot="1">
      <c r="A62" s="90"/>
      <c r="B62" s="28"/>
      <c r="C62" s="28"/>
      <c r="D62" s="28"/>
      <c r="E62" s="8"/>
      <c r="F62" s="10"/>
      <c r="G62" s="252">
        <f>SUM(G55:G59)</f>
        <v>18.05626</v>
      </c>
      <c r="H62" s="67">
        <f>SUM(H60:H61)</f>
        <v>13.214</v>
      </c>
      <c r="I62" s="88"/>
      <c r="J62" s="11"/>
    </row>
    <row r="63" spans="1:10" ht="16.5" thickTop="1">
      <c r="A63" s="168">
        <v>18.7</v>
      </c>
      <c r="B63" s="69"/>
      <c r="C63" s="69"/>
      <c r="D63" s="69"/>
      <c r="E63" s="70"/>
      <c r="F63" s="84"/>
      <c r="G63" s="115"/>
      <c r="H63" s="115"/>
      <c r="I63" s="89"/>
      <c r="J63" s="71"/>
    </row>
    <row r="64" spans="1:20" s="1" customFormat="1" ht="15.75">
      <c r="A64" s="123" t="s">
        <v>136</v>
      </c>
      <c r="B64" s="24"/>
      <c r="C64" s="24"/>
      <c r="D64" s="24"/>
      <c r="E64" s="3"/>
      <c r="F64" s="14"/>
      <c r="G64" s="85"/>
      <c r="H64" s="85"/>
      <c r="I64" s="95"/>
      <c r="J64" s="5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s="1" customFormat="1" ht="15.75">
      <c r="A65" s="123" t="s">
        <v>137</v>
      </c>
      <c r="B65" s="24"/>
      <c r="C65" s="24"/>
      <c r="D65" s="24"/>
      <c r="E65" s="3"/>
      <c r="F65" s="14"/>
      <c r="G65" s="85"/>
      <c r="H65" s="85"/>
      <c r="I65" s="95"/>
      <c r="J65" s="5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s="1" customFormat="1" ht="15.75">
      <c r="A66" s="101" t="s">
        <v>138</v>
      </c>
      <c r="B66" s="24"/>
      <c r="C66" s="24" t="s">
        <v>294</v>
      </c>
      <c r="D66" s="24" t="s">
        <v>139</v>
      </c>
      <c r="E66" s="3">
        <v>1.1</v>
      </c>
      <c r="F66" s="14">
        <f>IF(D66="xa-06",25,IF(D66="pd-08",0.37,IF(D66="pd-07",0.94,IF(D66="op-02",4.31,IF(D66="op-01",6.89)))))</f>
        <v>25</v>
      </c>
      <c r="G66" s="25">
        <f>E66*F66</f>
        <v>27.500000000000004</v>
      </c>
      <c r="I66" s="95">
        <f>SUM(G66:H70)</f>
        <v>42.0447</v>
      </c>
      <c r="J66" s="5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s="1" customFormat="1" ht="15.75">
      <c r="A67" s="101" t="s">
        <v>124</v>
      </c>
      <c r="B67" s="24"/>
      <c r="C67" s="24" t="s">
        <v>287</v>
      </c>
      <c r="D67" s="24" t="s">
        <v>76</v>
      </c>
      <c r="E67" s="3">
        <v>6</v>
      </c>
      <c r="F67" s="14">
        <f>IF(D67="xa-06",25,IF(D67="pd-08",0.37,IF(D67="pd-07",0.94,IF(D67="op-02",4.31,IF(D67="op-01",6.89)))))</f>
        <v>0.37</v>
      </c>
      <c r="G67" s="25">
        <f>E67*F67</f>
        <v>2.2199999999999998</v>
      </c>
      <c r="I67" s="95"/>
      <c r="J67" s="5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s="1" customFormat="1" ht="15.75">
      <c r="A68" s="101" t="s">
        <v>68</v>
      </c>
      <c r="B68" s="24"/>
      <c r="C68" s="24" t="s">
        <v>287</v>
      </c>
      <c r="D68" s="24" t="s">
        <v>69</v>
      </c>
      <c r="E68" s="3">
        <v>0.3</v>
      </c>
      <c r="F68" s="14">
        <f>IF(D68="xa-06",25,IF(D68="pd-08",0.37,IF(D68="pd-07",0.94,IF(D68="op-02",4.31,IF(D68="op-01",6.89)))))</f>
        <v>0.94</v>
      </c>
      <c r="G68" s="25">
        <f>E68*F68</f>
        <v>0.282</v>
      </c>
      <c r="I68" s="95"/>
      <c r="J68" s="5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s="1" customFormat="1" ht="15.75">
      <c r="A69" s="101" t="s">
        <v>289</v>
      </c>
      <c r="B69" s="24"/>
      <c r="C69" s="24" t="s">
        <v>228</v>
      </c>
      <c r="D69" s="24" t="s">
        <v>290</v>
      </c>
      <c r="E69" s="3">
        <v>1.43</v>
      </c>
      <c r="F69" s="14">
        <f>+C112</f>
        <v>6.89</v>
      </c>
      <c r="H69" s="25">
        <f>E69*F69</f>
        <v>9.852699999999999</v>
      </c>
      <c r="I69" s="95"/>
      <c r="J69" s="5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s="1" customFormat="1" ht="15.75">
      <c r="A70" s="101" t="s">
        <v>227</v>
      </c>
      <c r="B70" s="24"/>
      <c r="C70" s="24" t="s">
        <v>228</v>
      </c>
      <c r="D70" s="24" t="s">
        <v>229</v>
      </c>
      <c r="E70" s="3">
        <v>0.5</v>
      </c>
      <c r="F70" s="14">
        <f>+C113</f>
        <v>4.38</v>
      </c>
      <c r="H70" s="25">
        <f>E70*F70</f>
        <v>2.19</v>
      </c>
      <c r="I70" s="95"/>
      <c r="J70" s="5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10" ht="16.5" thickBot="1">
      <c r="A71" s="90"/>
      <c r="B71" s="72"/>
      <c r="C71" s="28"/>
      <c r="D71" s="28"/>
      <c r="E71" s="8"/>
      <c r="F71" s="73"/>
      <c r="G71" s="252">
        <f>SUM(G66:G68)</f>
        <v>30.002000000000002</v>
      </c>
      <c r="H71" s="67">
        <f>SUM(H69:H70)</f>
        <v>12.042699999999998</v>
      </c>
      <c r="I71" s="88"/>
      <c r="J71" s="11"/>
    </row>
    <row r="72" spans="1:10" ht="16.5" thickTop="1">
      <c r="A72" s="168">
        <v>18.8</v>
      </c>
      <c r="B72" s="113"/>
      <c r="C72" s="69"/>
      <c r="D72" s="69"/>
      <c r="E72" s="70"/>
      <c r="F72" s="139"/>
      <c r="G72" s="115"/>
      <c r="H72" s="115"/>
      <c r="I72" s="89"/>
      <c r="J72" s="71"/>
    </row>
    <row r="73" spans="1:20" s="1" customFormat="1" ht="15.75">
      <c r="A73" s="123" t="s">
        <v>140</v>
      </c>
      <c r="B73" s="24"/>
      <c r="C73" s="24"/>
      <c r="D73" s="24"/>
      <c r="E73" s="3"/>
      <c r="F73" s="14"/>
      <c r="G73" s="85"/>
      <c r="H73" s="85"/>
      <c r="I73" s="95"/>
      <c r="J73" s="5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s="1" customFormat="1" ht="15.75">
      <c r="A74" s="123" t="s">
        <v>141</v>
      </c>
      <c r="B74" s="24"/>
      <c r="C74" s="24" t="s">
        <v>574</v>
      </c>
      <c r="D74" s="24" t="s">
        <v>142</v>
      </c>
      <c r="E74" s="3">
        <v>1</v>
      </c>
      <c r="F74" s="14">
        <f>IF(D74="xa-07",5.25,IF(D74="pd-08",0.37,IF(D74="pd-07",0.94,IF(D74="op-02",4.31,IF(D74="op-01",6.89)))))</f>
        <v>5.25</v>
      </c>
      <c r="G74" s="25">
        <f>E74*F74</f>
        <v>5.25</v>
      </c>
      <c r="I74" s="95">
        <f>SUM(G74:H76)</f>
        <v>8.882</v>
      </c>
      <c r="J74" s="5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s="1" customFormat="1" ht="15.75">
      <c r="A75" s="101" t="s">
        <v>289</v>
      </c>
      <c r="B75" s="24"/>
      <c r="C75" s="24" t="s">
        <v>228</v>
      </c>
      <c r="D75" s="24" t="s">
        <v>290</v>
      </c>
      <c r="E75" s="3">
        <v>0.4</v>
      </c>
      <c r="F75" s="14">
        <f>+C112</f>
        <v>6.89</v>
      </c>
      <c r="H75" s="25">
        <f>E75*F75</f>
        <v>2.7560000000000002</v>
      </c>
      <c r="I75" s="95"/>
      <c r="J75" s="5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s="1" customFormat="1" ht="15.75">
      <c r="A76" s="101" t="s">
        <v>227</v>
      </c>
      <c r="B76" s="24"/>
      <c r="C76" s="24" t="s">
        <v>228</v>
      </c>
      <c r="D76" s="24" t="s">
        <v>229</v>
      </c>
      <c r="E76" s="3">
        <v>0.2</v>
      </c>
      <c r="F76" s="14">
        <f>+C113</f>
        <v>4.38</v>
      </c>
      <c r="H76" s="25">
        <f>E76*F76</f>
        <v>0.876</v>
      </c>
      <c r="I76" s="95"/>
      <c r="J76" s="5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10" ht="16.5" thickBot="1">
      <c r="A77" s="90"/>
      <c r="B77" s="72"/>
      <c r="C77" s="28"/>
      <c r="D77" s="28"/>
      <c r="E77" s="8"/>
      <c r="F77" s="73"/>
      <c r="G77" s="67">
        <f>E74*F74</f>
        <v>5.25</v>
      </c>
      <c r="H77" s="252">
        <f>SUM(H75:H76)</f>
        <v>3.632</v>
      </c>
      <c r="I77" s="88"/>
      <c r="J77" s="11"/>
    </row>
    <row r="78" spans="1:10" ht="16.5" thickTop="1">
      <c r="A78" s="168">
        <v>18.9</v>
      </c>
      <c r="B78" s="113"/>
      <c r="C78" s="69"/>
      <c r="D78" s="69"/>
      <c r="E78" s="70"/>
      <c r="F78" s="139"/>
      <c r="G78" s="115"/>
      <c r="H78" s="115"/>
      <c r="I78" s="89"/>
      <c r="J78" s="71"/>
    </row>
    <row r="79" spans="1:20" s="1" customFormat="1" ht="15.75">
      <c r="A79" s="123" t="s">
        <v>143</v>
      </c>
      <c r="B79" s="24"/>
      <c r="C79" s="24"/>
      <c r="D79" s="24"/>
      <c r="E79" s="3"/>
      <c r="F79" s="14"/>
      <c r="G79" s="85"/>
      <c r="H79" s="85"/>
      <c r="I79" s="95"/>
      <c r="J79" s="5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s="1" customFormat="1" ht="15.75">
      <c r="A80" s="123" t="s">
        <v>144</v>
      </c>
      <c r="B80" s="24"/>
      <c r="C80" s="24"/>
      <c r="D80" s="24"/>
      <c r="E80" s="3"/>
      <c r="F80" s="14"/>
      <c r="G80" s="85"/>
      <c r="H80" s="85"/>
      <c r="I80" s="95"/>
      <c r="J80" s="5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s="1" customFormat="1" ht="15.75">
      <c r="A81" s="123" t="s">
        <v>145</v>
      </c>
      <c r="B81" s="24"/>
      <c r="C81" s="24"/>
      <c r="D81" s="24"/>
      <c r="E81" s="3"/>
      <c r="F81" s="14"/>
      <c r="G81" s="85"/>
      <c r="H81" s="85"/>
      <c r="I81" s="95"/>
      <c r="J81" s="5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s="1" customFormat="1" ht="15.75">
      <c r="A82" s="101" t="s">
        <v>146</v>
      </c>
      <c r="B82" s="24"/>
      <c r="C82" s="24" t="s">
        <v>574</v>
      </c>
      <c r="D82" s="24" t="s">
        <v>147</v>
      </c>
      <c r="E82" s="3">
        <v>63</v>
      </c>
      <c r="F82" s="14">
        <f>IF(D82="az-06",0.25,IF(D82="ar-03",12.03,IF(D82="pd-07",0.94,IF(D82="pd-08",0.37,IF(D82="op-02",4.31,IF(D82="op-01",6.89,IF(D82="ag-01",0.12,IF(D82="ag-04",0.13))))))))</f>
        <v>0.25</v>
      </c>
      <c r="G82" s="25">
        <f>E82*F82</f>
        <v>15.75</v>
      </c>
      <c r="I82" s="95">
        <f>SUM(G82:H87)</f>
        <v>28.75112</v>
      </c>
      <c r="J82" s="5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s="1" customFormat="1" ht="15.75">
      <c r="A83" s="101" t="s">
        <v>624</v>
      </c>
      <c r="B83" s="24"/>
      <c r="C83" s="24" t="s">
        <v>287</v>
      </c>
      <c r="D83" s="24" t="s">
        <v>355</v>
      </c>
      <c r="E83" s="3">
        <v>3.85</v>
      </c>
      <c r="F83" s="14">
        <f>IF(D83="az-06",0.25,IF(D83="ar-03",12.03,IF(D83="pd-07",0.94,IF(D83="pd-08",0.37,IF(D83="op-02",4.31,IF(D83="op-01",6.89,IF(D83="ag-01",0.12,IF(D83="ag-04",0.13))))))))</f>
        <v>0.12</v>
      </c>
      <c r="G83" s="25">
        <f>E83*F83</f>
        <v>0.46199999999999997</v>
      </c>
      <c r="I83" s="95"/>
      <c r="J83" s="5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s="1" customFormat="1" ht="15.75">
      <c r="A84" s="101" t="s">
        <v>559</v>
      </c>
      <c r="B84" s="24"/>
      <c r="C84" s="24" t="s">
        <v>357</v>
      </c>
      <c r="D84" s="24" t="s">
        <v>560</v>
      </c>
      <c r="E84" s="3">
        <v>0.004</v>
      </c>
      <c r="F84" s="14">
        <f>IF(D84="az-06",0.25,IF(D84="ar-03",12.03,IF(D84="pd-07",0.94,IF(D84="pd-08",0.37,IF(D84="op-02",4.31,IF(D84="op-01",6.89,IF(D84="ag-01",0.12,IF(D84="ag-04",0.13))))))))</f>
        <v>12.03</v>
      </c>
      <c r="G84" s="25">
        <f>E84*F84</f>
        <v>0.048119999999999996</v>
      </c>
      <c r="I84" s="95"/>
      <c r="J84" s="5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s="1" customFormat="1" ht="15.75">
      <c r="A85" s="101" t="s">
        <v>124</v>
      </c>
      <c r="B85" s="24"/>
      <c r="C85" s="24" t="s">
        <v>287</v>
      </c>
      <c r="D85" s="24" t="s">
        <v>76</v>
      </c>
      <c r="E85" s="3">
        <v>6</v>
      </c>
      <c r="F85" s="14">
        <f>IF(D85="az-06",0.25,IF(D85="ar-03",12.03,IF(D85="pd-07",0.94,IF(D85="pd-08",0.37,IF(D85="op-02",4.31,IF(D85="op-01",6.89,IF(D85="ag-01",0.12,IF(D85="ag-04",0.13))))))))</f>
        <v>0.37</v>
      </c>
      <c r="G85" s="25">
        <f>E85*F85</f>
        <v>2.2199999999999998</v>
      </c>
      <c r="I85" s="95"/>
      <c r="J85" s="5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s="1" customFormat="1" ht="15.75">
      <c r="A86" s="101" t="s">
        <v>289</v>
      </c>
      <c r="B86" s="24"/>
      <c r="C86" s="24" t="s">
        <v>228</v>
      </c>
      <c r="D86" s="24" t="s">
        <v>290</v>
      </c>
      <c r="E86" s="3">
        <v>1.3</v>
      </c>
      <c r="F86" s="14">
        <f>+C112</f>
        <v>6.89</v>
      </c>
      <c r="H86" s="25">
        <f>E86*F86</f>
        <v>8.957</v>
      </c>
      <c r="I86" s="95"/>
      <c r="J86" s="5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s="1" customFormat="1" ht="15.75">
      <c r="A87" s="101" t="s">
        <v>227</v>
      </c>
      <c r="B87" s="24"/>
      <c r="C87" s="24" t="s">
        <v>228</v>
      </c>
      <c r="D87" s="24" t="s">
        <v>229</v>
      </c>
      <c r="E87" s="3">
        <v>0.3</v>
      </c>
      <c r="F87" s="14">
        <f>+C113</f>
        <v>4.38</v>
      </c>
      <c r="H87" s="25">
        <f>E87*F87</f>
        <v>1.3139999999999998</v>
      </c>
      <c r="I87" s="95"/>
      <c r="J87" s="5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10" ht="16.5" thickBot="1">
      <c r="A88" s="90"/>
      <c r="B88" s="72"/>
      <c r="C88" s="28"/>
      <c r="D88" s="28"/>
      <c r="E88" s="8"/>
      <c r="F88" s="73"/>
      <c r="G88" s="67">
        <f>SUM(G82:G85)</f>
        <v>18.48012</v>
      </c>
      <c r="H88" s="67">
        <f>SUM(H86:H87)</f>
        <v>10.271</v>
      </c>
      <c r="I88" s="88"/>
      <c r="J88" s="11"/>
    </row>
    <row r="89" spans="1:10" ht="16.5" thickTop="1">
      <c r="A89" s="176">
        <v>18.1</v>
      </c>
      <c r="B89" s="113"/>
      <c r="C89" s="69"/>
      <c r="D89" s="69"/>
      <c r="E89" s="70"/>
      <c r="F89" s="139"/>
      <c r="G89" s="115"/>
      <c r="H89" s="115"/>
      <c r="I89" s="89"/>
      <c r="J89" s="71"/>
    </row>
    <row r="90" spans="1:20" s="1" customFormat="1" ht="15.75">
      <c r="A90" s="122" t="s">
        <v>148</v>
      </c>
      <c r="B90" s="24"/>
      <c r="C90" s="24"/>
      <c r="D90" s="24"/>
      <c r="E90" s="3"/>
      <c r="F90" s="14"/>
      <c r="G90" s="85"/>
      <c r="H90" s="85"/>
      <c r="I90" s="95"/>
      <c r="J90" s="5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s="1" customFormat="1" ht="15.75">
      <c r="A91" s="122" t="s">
        <v>149</v>
      </c>
      <c r="B91" s="24"/>
      <c r="C91" s="24"/>
      <c r="D91" s="24"/>
      <c r="E91" s="3"/>
      <c r="F91" s="14"/>
      <c r="G91" s="85"/>
      <c r="H91" s="85"/>
      <c r="I91" s="95"/>
      <c r="J91" s="5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s="1" customFormat="1" ht="15.75">
      <c r="A92" s="122" t="s">
        <v>150</v>
      </c>
      <c r="B92" s="24"/>
      <c r="C92" s="24" t="s">
        <v>574</v>
      </c>
      <c r="D92" s="24" t="s">
        <v>151</v>
      </c>
      <c r="E92" s="3">
        <v>63</v>
      </c>
      <c r="F92" s="14">
        <f>IF(D92="az-07",0.17,IF(D92="ar-03",12.03,IF(D92="pd-07",0.94,IF(D92="pd-08",0.37,IF(D92="op-02",4.31,IF(D92="op-01",6.89,IF(D92="ag-01",0.12,IF(D92="ag-04",0.13))))))))</f>
        <v>0.17</v>
      </c>
      <c r="G92" s="25">
        <f>E92*F92</f>
        <v>10.71</v>
      </c>
      <c r="I92" s="95">
        <f>SUM(G92:H97)</f>
        <v>28.89915</v>
      </c>
      <c r="J92" s="5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s="1" customFormat="1" ht="15.75">
      <c r="A93" s="101" t="s">
        <v>624</v>
      </c>
      <c r="B93" s="24"/>
      <c r="C93" s="24" t="s">
        <v>287</v>
      </c>
      <c r="D93" s="24" t="s">
        <v>355</v>
      </c>
      <c r="E93" s="3">
        <v>5.5</v>
      </c>
      <c r="F93" s="14">
        <f>IF(D93="az-07",0.17,IF(D93="ar-03",12.03,IF(D93="pd-07",0.94,IF(D93="pd-08",0.37,IF(D93="op-02",4.31,IF(D93="op-01",6.89,IF(D93="ag-01",0.12,IF(D93="ag-04",0.13))))))))</f>
        <v>0.12</v>
      </c>
      <c r="G93" s="25">
        <f>E93*F93</f>
        <v>0.6599999999999999</v>
      </c>
      <c r="I93" s="95"/>
      <c r="J93" s="5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s="1" customFormat="1" ht="15.75">
      <c r="A94" s="101" t="s">
        <v>559</v>
      </c>
      <c r="B94" s="24"/>
      <c r="C94" s="24" t="s">
        <v>357</v>
      </c>
      <c r="D94" s="24" t="s">
        <v>560</v>
      </c>
      <c r="E94" s="3">
        <v>0.005</v>
      </c>
      <c r="F94" s="14">
        <f>IF(D94="az-07",0.17,IF(D94="ar-03",12.03,IF(D94="pd-07",0.94,IF(D94="pd-08",0.37,IF(D94="op-02",4.31,IF(D94="op-01",6.89,IF(D94="ag-01",0.12,IF(D94="ag-04",0.13))))))))</f>
        <v>12.03</v>
      </c>
      <c r="G94" s="25">
        <f>E94*F94</f>
        <v>0.060149999999999995</v>
      </c>
      <c r="I94" s="95"/>
      <c r="J94" s="5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s="1" customFormat="1" ht="15.75">
      <c r="A95" s="101" t="s">
        <v>124</v>
      </c>
      <c r="B95" s="24"/>
      <c r="C95" s="24" t="s">
        <v>287</v>
      </c>
      <c r="D95" s="24" t="s">
        <v>76</v>
      </c>
      <c r="E95" s="3">
        <v>6</v>
      </c>
      <c r="F95" s="14">
        <f>IF(D95="az-07",0.17,IF(D95="ar-03",12.03,IF(D95="pd-07",0.94,IF(D95="pd-08",0.37,IF(D95="op-02",4.31,IF(D95="op-01",6.89,IF(D95="ag-01",0.12,IF(D95="ag-04",0.13))))))))</f>
        <v>0.37</v>
      </c>
      <c r="G95" s="25">
        <f>E95*F95</f>
        <v>2.2199999999999998</v>
      </c>
      <c r="I95" s="95"/>
      <c r="J95" s="5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s="1" customFormat="1" ht="15.75">
      <c r="A96" s="101" t="s">
        <v>289</v>
      </c>
      <c r="B96" s="24"/>
      <c r="C96" s="24" t="s">
        <v>228</v>
      </c>
      <c r="D96" s="24" t="s">
        <v>290</v>
      </c>
      <c r="E96" s="3">
        <v>1.8</v>
      </c>
      <c r="F96" s="14">
        <f>+C112</f>
        <v>6.89</v>
      </c>
      <c r="H96" s="25">
        <f>E96*F96</f>
        <v>12.402</v>
      </c>
      <c r="I96" s="95"/>
      <c r="J96" s="5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s="1" customFormat="1" ht="15.75">
      <c r="A97" s="101" t="s">
        <v>227</v>
      </c>
      <c r="B97" s="24"/>
      <c r="C97" s="24" t="s">
        <v>228</v>
      </c>
      <c r="D97" s="24" t="s">
        <v>229</v>
      </c>
      <c r="E97" s="3">
        <v>0.65</v>
      </c>
      <c r="F97" s="14">
        <f>+C113</f>
        <v>4.38</v>
      </c>
      <c r="H97" s="25">
        <f>E97*F97</f>
        <v>2.847</v>
      </c>
      <c r="I97" s="95"/>
      <c r="J97" s="5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10" ht="16.5" thickBot="1">
      <c r="A98" s="90"/>
      <c r="B98" s="72"/>
      <c r="C98" s="28"/>
      <c r="D98" s="28"/>
      <c r="E98" s="8"/>
      <c r="F98" s="73"/>
      <c r="G98" s="67">
        <f>SUM(G92:G95)</f>
        <v>13.65015</v>
      </c>
      <c r="H98" s="67">
        <f>SUM(H96:H97)</f>
        <v>15.248999999999999</v>
      </c>
      <c r="I98" s="88"/>
      <c r="J98" s="11"/>
    </row>
    <row r="99" spans="1:10" ht="16.5" thickTop="1">
      <c r="A99" s="168">
        <v>18.11</v>
      </c>
      <c r="B99" s="113"/>
      <c r="C99" s="69"/>
      <c r="D99" s="69"/>
      <c r="E99" s="70"/>
      <c r="F99" s="139"/>
      <c r="G99" s="115"/>
      <c r="H99" s="115"/>
      <c r="I99" s="89"/>
      <c r="J99" s="71"/>
    </row>
    <row r="100" spans="1:20" s="1" customFormat="1" ht="15.75">
      <c r="A100" s="123" t="s">
        <v>152</v>
      </c>
      <c r="B100" s="24"/>
      <c r="C100" s="24"/>
      <c r="D100" s="24"/>
      <c r="E100" s="3"/>
      <c r="F100" s="14"/>
      <c r="G100" s="85"/>
      <c r="H100" s="85"/>
      <c r="I100" s="95"/>
      <c r="J100" s="5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s="1" customFormat="1" ht="15.75">
      <c r="A101" s="123" t="s">
        <v>153</v>
      </c>
      <c r="B101" s="24"/>
      <c r="C101" s="24"/>
      <c r="D101" s="24"/>
      <c r="E101" s="3"/>
      <c r="F101" s="14"/>
      <c r="G101" s="85"/>
      <c r="H101" s="85"/>
      <c r="I101" s="95"/>
      <c r="J101" s="5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1" customFormat="1" ht="15.75">
      <c r="A102" s="101" t="s">
        <v>154</v>
      </c>
      <c r="B102" s="24"/>
      <c r="C102" s="24" t="s">
        <v>294</v>
      </c>
      <c r="D102" s="24" t="s">
        <v>155</v>
      </c>
      <c r="E102" s="3">
        <v>1</v>
      </c>
      <c r="F102" s="14">
        <f>IF(D102="pa-01",30,IF(D102="ar-03",12.03,IF(D102="pd-07",0.94,IF(D102="pd-08",0.37,IF(D102="op-02",4.31,IF(D102="op-01",6.89,IF(D102="ag-01",0.12,IF(D102="ag-04",0.13))))))))</f>
        <v>30</v>
      </c>
      <c r="G102" s="25">
        <f>E102*F102</f>
        <v>30</v>
      </c>
      <c r="I102" s="95">
        <f>SUM(G102:H107)</f>
        <v>54.49589999999999</v>
      </c>
      <c r="J102" s="5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s="1" customFormat="1" ht="15.75">
      <c r="A103" s="101" t="s">
        <v>624</v>
      </c>
      <c r="B103" s="24"/>
      <c r="C103" s="24" t="s">
        <v>287</v>
      </c>
      <c r="D103" s="24" t="s">
        <v>355</v>
      </c>
      <c r="E103" s="3">
        <v>7.7</v>
      </c>
      <c r="F103" s="14">
        <f>IF(D103="pa-01",30,IF(D103="ar-03",12.03,IF(D103="pd-07",0.94,IF(D103="pd-08",0.37,IF(D103="op-02",4.31,IF(D103="op-01",6.89,IF(D103="ag-01",0.12,IF(D103="ag-04",0.13))))))))</f>
        <v>0.12</v>
      </c>
      <c r="G103" s="25">
        <f>E103*F103</f>
        <v>0.9239999999999999</v>
      </c>
      <c r="I103" s="95"/>
      <c r="J103" s="5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s="1" customFormat="1" ht="15.75">
      <c r="A104" s="101" t="s">
        <v>843</v>
      </c>
      <c r="B104" s="24"/>
      <c r="C104" s="24" t="s">
        <v>287</v>
      </c>
      <c r="D104" s="24" t="s">
        <v>844</v>
      </c>
      <c r="E104" s="3">
        <v>2.7</v>
      </c>
      <c r="F104" s="14">
        <f>IF(D104="pa-01",30,IF(D104="ar-03",12.03,IF(D104="pd-07",0.94,IF(D104="pd-08",0.37,IF(D104="op-02",4.31,IF(D104="op-01",6.89,IF(D104="ag-01",0.12,IF(D104="ag-04",0.13))))))))</f>
        <v>0.13</v>
      </c>
      <c r="G104" s="25">
        <f>E104*F104</f>
        <v>0.35100000000000003</v>
      </c>
      <c r="I104" s="95"/>
      <c r="J104" s="5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s="1" customFormat="1" ht="15.75">
      <c r="A105" s="101" t="s">
        <v>559</v>
      </c>
      <c r="B105" s="24"/>
      <c r="C105" s="24" t="s">
        <v>357</v>
      </c>
      <c r="D105" s="24" t="s">
        <v>560</v>
      </c>
      <c r="E105" s="3">
        <v>0.03</v>
      </c>
      <c r="F105" s="14">
        <f>IF(D105="pa-01",30,IF(D105="ar-03",12.03,IF(D105="pd-07",0.94,IF(D105="pd-08",0.37,IF(D105="op-02",4.31,IF(D105="op-01",6.89,IF(D105="ag-01",0.12,IF(D105="ag-04",0.13))))))))</f>
        <v>12.03</v>
      </c>
      <c r="G105" s="25">
        <f>E105*F105</f>
        <v>0.36089999999999994</v>
      </c>
      <c r="I105" s="95"/>
      <c r="J105" s="5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s="1" customFormat="1" ht="15.75">
      <c r="A106" s="101" t="s">
        <v>289</v>
      </c>
      <c r="B106" s="24"/>
      <c r="C106" s="24" t="s">
        <v>228</v>
      </c>
      <c r="D106" s="24" t="s">
        <v>290</v>
      </c>
      <c r="E106" s="3">
        <v>3</v>
      </c>
      <c r="F106" s="14">
        <f>+C112</f>
        <v>6.89</v>
      </c>
      <c r="H106" s="25">
        <f>E106*F106</f>
        <v>20.669999999999998</v>
      </c>
      <c r="I106" s="95"/>
      <c r="J106" s="5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s="1" customFormat="1" ht="15.75">
      <c r="A107" s="101" t="s">
        <v>227</v>
      </c>
      <c r="B107" s="24"/>
      <c r="C107" s="24" t="s">
        <v>228</v>
      </c>
      <c r="D107" s="24" t="s">
        <v>229</v>
      </c>
      <c r="E107" s="3">
        <v>0.5</v>
      </c>
      <c r="F107" s="14">
        <f>+C113</f>
        <v>4.38</v>
      </c>
      <c r="H107" s="25">
        <f>E107*F107</f>
        <v>2.19</v>
      </c>
      <c r="I107" s="95"/>
      <c r="J107" s="5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10" ht="16.5" thickBot="1">
      <c r="A108" s="93"/>
      <c r="B108" s="78"/>
      <c r="C108" s="34"/>
      <c r="D108" s="34"/>
      <c r="E108" s="18"/>
      <c r="F108" s="79"/>
      <c r="G108" s="253">
        <f>SUM(G102:G105)</f>
        <v>31.6359</v>
      </c>
      <c r="H108" s="66">
        <f>SUM(H106:H107)</f>
        <v>22.86</v>
      </c>
      <c r="I108" s="92"/>
      <c r="J108" s="20"/>
    </row>
    <row r="109" spans="1:10" ht="16.5" thickTop="1">
      <c r="A109" s="22"/>
      <c r="B109" s="40"/>
      <c r="C109" s="40"/>
      <c r="D109" s="40"/>
      <c r="E109" s="23"/>
      <c r="F109" s="21"/>
      <c r="G109" s="21"/>
      <c r="H109" s="21"/>
      <c r="I109" s="21"/>
      <c r="J109" s="21"/>
    </row>
    <row r="110" spans="1:10" ht="15.75">
      <c r="A110" s="22"/>
      <c r="B110" s="40"/>
      <c r="C110" s="40"/>
      <c r="D110" s="40"/>
      <c r="E110" s="23"/>
      <c r="F110" s="21"/>
      <c r="G110" s="21"/>
      <c r="H110" s="21"/>
      <c r="I110" s="21"/>
      <c r="J110" s="21"/>
    </row>
    <row r="111" spans="1:10" ht="15.75">
      <c r="A111" s="22"/>
      <c r="B111" s="40"/>
      <c r="C111" s="40"/>
      <c r="D111" s="40"/>
      <c r="E111" s="23"/>
      <c r="F111" s="21"/>
      <c r="G111" s="21"/>
      <c r="H111" s="21"/>
      <c r="I111" s="21"/>
      <c r="J111" s="21"/>
    </row>
    <row r="112" spans="1:10" ht="15.75">
      <c r="A112" s="22"/>
      <c r="B112" s="301" t="s">
        <v>290</v>
      </c>
      <c r="C112" s="40">
        <v>6.89</v>
      </c>
      <c r="D112" s="40"/>
      <c r="E112" s="23"/>
      <c r="F112" s="21"/>
      <c r="G112" s="21"/>
      <c r="H112" s="21"/>
      <c r="I112" s="21"/>
      <c r="J112" s="21"/>
    </row>
    <row r="113" spans="1:10" ht="15.75">
      <c r="A113" s="22"/>
      <c r="B113" s="301" t="s">
        <v>229</v>
      </c>
      <c r="C113" s="40">
        <v>4.38</v>
      </c>
      <c r="D113" s="40"/>
      <c r="E113" s="23"/>
      <c r="F113" s="21"/>
      <c r="G113" s="21"/>
      <c r="H113" s="21"/>
      <c r="I113" s="21"/>
      <c r="J113" s="21"/>
    </row>
    <row r="114" spans="1:10" ht="15.75">
      <c r="A114" s="22"/>
      <c r="B114" s="40"/>
      <c r="C114" s="40"/>
      <c r="D114" s="40"/>
      <c r="E114" s="23"/>
      <c r="F114" s="21"/>
      <c r="G114" s="21"/>
      <c r="H114" s="21"/>
      <c r="I114" s="21"/>
      <c r="J114" s="21"/>
    </row>
    <row r="115" spans="1:10" ht="15.75">
      <c r="A115" s="22"/>
      <c r="B115" s="40"/>
      <c r="C115" s="40"/>
      <c r="D115" s="40"/>
      <c r="E115" s="23"/>
      <c r="F115" s="21"/>
      <c r="G115" s="21"/>
      <c r="H115" s="21"/>
      <c r="I115" s="21"/>
      <c r="J115" s="21"/>
    </row>
    <row r="116" spans="1:10" ht="15.75">
      <c r="A116" s="22"/>
      <c r="B116" s="40"/>
      <c r="C116" s="40"/>
      <c r="D116" s="40"/>
      <c r="E116" s="23"/>
      <c r="F116" s="21"/>
      <c r="G116" s="21"/>
      <c r="H116" s="21"/>
      <c r="I116" s="21"/>
      <c r="J116" s="21"/>
    </row>
    <row r="117" spans="1:10" ht="15.75">
      <c r="A117" s="22"/>
      <c r="B117" s="40"/>
      <c r="C117" s="40"/>
      <c r="D117" s="40"/>
      <c r="E117" s="23"/>
      <c r="F117" s="21"/>
      <c r="G117" s="21"/>
      <c r="H117" s="21"/>
      <c r="I117" s="21"/>
      <c r="J117" s="21"/>
    </row>
    <row r="118" spans="1:10" ht="15.75">
      <c r="A118" s="22"/>
      <c r="B118" s="40"/>
      <c r="C118" s="40"/>
      <c r="D118" s="40"/>
      <c r="E118" s="23"/>
      <c r="F118" s="21"/>
      <c r="G118" s="21"/>
      <c r="H118" s="21"/>
      <c r="I118" s="21"/>
      <c r="J118" s="21"/>
    </row>
    <row r="119" spans="1:10" ht="15.75">
      <c r="A119" s="22"/>
      <c r="B119" s="40"/>
      <c r="C119" s="40"/>
      <c r="D119" s="40"/>
      <c r="E119" s="23"/>
      <c r="F119" s="21"/>
      <c r="G119" s="21"/>
      <c r="H119" s="21"/>
      <c r="I119" s="21"/>
      <c r="J119" s="21"/>
    </row>
    <row r="120" spans="1:10" ht="15.75">
      <c r="A120" s="22"/>
      <c r="B120" s="40"/>
      <c r="C120" s="40"/>
      <c r="D120" s="40"/>
      <c r="E120" s="23"/>
      <c r="F120" s="21"/>
      <c r="G120" s="21"/>
      <c r="H120" s="21"/>
      <c r="I120" s="21"/>
      <c r="J120" s="21"/>
    </row>
    <row r="121" spans="1:10" ht="15.75">
      <c r="A121" s="22"/>
      <c r="B121" s="40"/>
      <c r="C121" s="40"/>
      <c r="D121" s="40"/>
      <c r="E121" s="23"/>
      <c r="F121" s="21"/>
      <c r="G121" s="21"/>
      <c r="H121" s="21"/>
      <c r="I121" s="21"/>
      <c r="J121" s="21"/>
    </row>
    <row r="122" spans="1:10" ht="15.75">
      <c r="A122" s="22"/>
      <c r="B122" s="40"/>
      <c r="C122" s="40"/>
      <c r="D122" s="40"/>
      <c r="E122" s="23"/>
      <c r="F122" s="21"/>
      <c r="G122" s="21"/>
      <c r="H122" s="21"/>
      <c r="I122" s="21"/>
      <c r="J122" s="21"/>
    </row>
    <row r="123" spans="1:10" ht="15.75">
      <c r="A123" s="22"/>
      <c r="B123" s="40"/>
      <c r="C123" s="40"/>
      <c r="D123" s="40"/>
      <c r="E123" s="23"/>
      <c r="F123" s="21"/>
      <c r="G123" s="21"/>
      <c r="H123" s="21"/>
      <c r="I123" s="21"/>
      <c r="J123" s="21"/>
    </row>
    <row r="124" spans="1:10" ht="15.75">
      <c r="A124" s="22"/>
      <c r="B124" s="40"/>
      <c r="C124" s="40"/>
      <c r="D124" s="40"/>
      <c r="E124" s="23"/>
      <c r="F124" s="21"/>
      <c r="G124" s="21"/>
      <c r="H124" s="21"/>
      <c r="I124" s="21"/>
      <c r="J124" s="21"/>
    </row>
    <row r="125" spans="1:10" ht="15.75">
      <c r="A125" s="22"/>
      <c r="B125" s="40"/>
      <c r="C125" s="40"/>
      <c r="D125" s="40"/>
      <c r="E125" s="23"/>
      <c r="F125" s="21"/>
      <c r="G125" s="21"/>
      <c r="H125" s="21"/>
      <c r="I125" s="21"/>
      <c r="J125" s="21"/>
    </row>
    <row r="126" spans="1:10" ht="15.75">
      <c r="A126" s="22"/>
      <c r="B126" s="40"/>
      <c r="C126" s="40"/>
      <c r="D126" s="40"/>
      <c r="E126" s="23"/>
      <c r="F126" s="21"/>
      <c r="G126" s="21"/>
      <c r="H126" s="21"/>
      <c r="I126" s="21"/>
      <c r="J126" s="21"/>
    </row>
    <row r="127" spans="1:10" ht="15.75">
      <c r="A127" s="22"/>
      <c r="B127" s="40"/>
      <c r="C127" s="40"/>
      <c r="D127" s="40"/>
      <c r="E127" s="23"/>
      <c r="F127" s="21"/>
      <c r="G127" s="21"/>
      <c r="H127" s="21"/>
      <c r="I127" s="21"/>
      <c r="J127" s="21"/>
    </row>
    <row r="128" spans="1:10" ht="15.75">
      <c r="A128" s="22"/>
      <c r="B128" s="40"/>
      <c r="C128" s="40"/>
      <c r="D128" s="40"/>
      <c r="E128" s="23"/>
      <c r="F128" s="21"/>
      <c r="G128" s="21"/>
      <c r="H128" s="21"/>
      <c r="I128" s="21"/>
      <c r="J128" s="21"/>
    </row>
    <row r="129" spans="1:10" ht="15.75">
      <c r="A129" s="22"/>
      <c r="B129" s="40"/>
      <c r="C129" s="40"/>
      <c r="D129" s="40"/>
      <c r="E129" s="23"/>
      <c r="F129" s="21"/>
      <c r="G129" s="21"/>
      <c r="H129" s="21"/>
      <c r="I129" s="21"/>
      <c r="J129" s="21"/>
    </row>
    <row r="130" spans="1:10" ht="15.75">
      <c r="A130" s="22"/>
      <c r="B130" s="40"/>
      <c r="C130" s="40"/>
      <c r="D130" s="40"/>
      <c r="E130" s="23"/>
      <c r="F130" s="21"/>
      <c r="G130" s="21"/>
      <c r="H130" s="21"/>
      <c r="I130" s="21"/>
      <c r="J130" s="21"/>
    </row>
    <row r="131" spans="1:10" ht="15.75">
      <c r="A131" s="22"/>
      <c r="B131" s="40"/>
      <c r="C131" s="40"/>
      <c r="D131" s="40"/>
      <c r="E131" s="23"/>
      <c r="F131" s="21"/>
      <c r="G131" s="21"/>
      <c r="H131" s="21"/>
      <c r="I131" s="21"/>
      <c r="J131" s="21"/>
    </row>
    <row r="132" spans="1:10" ht="15.75">
      <c r="A132" s="22"/>
      <c r="B132" s="40"/>
      <c r="C132" s="40"/>
      <c r="D132" s="40"/>
      <c r="E132" s="23"/>
      <c r="F132" s="21"/>
      <c r="G132" s="21"/>
      <c r="H132" s="21"/>
      <c r="I132" s="21"/>
      <c r="J132" s="21"/>
    </row>
    <row r="133" spans="1:10" ht="15.75">
      <c r="A133" s="22"/>
      <c r="B133" s="40"/>
      <c r="C133" s="40"/>
      <c r="D133" s="40"/>
      <c r="E133" s="23"/>
      <c r="F133" s="21"/>
      <c r="G133" s="21"/>
      <c r="H133" s="21"/>
      <c r="I133" s="21"/>
      <c r="J133" s="21"/>
    </row>
    <row r="134" spans="1:10" ht="15.75">
      <c r="A134" s="22"/>
      <c r="B134" s="40"/>
      <c r="C134" s="40"/>
      <c r="D134" s="40"/>
      <c r="E134" s="23"/>
      <c r="F134" s="21"/>
      <c r="G134" s="21"/>
      <c r="H134" s="21"/>
      <c r="I134" s="21"/>
      <c r="J134" s="21"/>
    </row>
    <row r="135" spans="1:10" ht="15.75">
      <c r="A135" s="22"/>
      <c r="B135" s="40"/>
      <c r="C135" s="40"/>
      <c r="D135" s="40"/>
      <c r="E135" s="23"/>
      <c r="F135" s="21"/>
      <c r="G135" s="21"/>
      <c r="H135" s="21"/>
      <c r="I135" s="21"/>
      <c r="J135" s="21"/>
    </row>
    <row r="202" ht="12.75">
      <c r="D202" s="55"/>
    </row>
  </sheetData>
  <printOptions/>
  <pageMargins left="0.25" right="0.25" top="1" bottom="1" header="0.511811024" footer="0.511811024"/>
  <pageSetup horizontalDpi="200" verticalDpi="200" orientation="landscape" paperSize="5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Q129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30" sqref="C130"/>
    </sheetView>
  </sheetViews>
  <sheetFormatPr defaultColWidth="11.421875" defaultRowHeight="12.75"/>
  <cols>
    <col min="1" max="1" width="52.00390625" style="0" customWidth="1"/>
    <col min="2" max="2" width="7.00390625" style="0" customWidth="1"/>
    <col min="3" max="3" width="8.00390625" style="0" customWidth="1"/>
    <col min="4" max="4" width="8.7109375" style="0" customWidth="1"/>
    <col min="5" max="5" width="10.7109375" style="0" customWidth="1"/>
    <col min="6" max="6" width="8.421875" style="0" customWidth="1"/>
    <col min="7" max="7" width="10.28125" style="0" customWidth="1"/>
    <col min="8" max="8" width="8.8515625" style="0" customWidth="1"/>
    <col min="9" max="9" width="10.421875" style="0" customWidth="1"/>
    <col min="10" max="10" width="94.28125" style="0" customWidth="1"/>
    <col min="13" max="121" width="11.421875" style="21" customWidth="1"/>
  </cols>
  <sheetData>
    <row r="1" spans="1:10" ht="17.25" thickBot="1" thickTop="1">
      <c r="A1" s="275" t="s">
        <v>156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21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</row>
    <row r="3" spans="1:121" s="1" customFormat="1" ht="16.5" thickTop="1">
      <c r="A3" s="171">
        <v>19.1</v>
      </c>
      <c r="B3" s="125"/>
      <c r="C3" s="125"/>
      <c r="D3" s="126"/>
      <c r="E3" s="126"/>
      <c r="F3" s="126"/>
      <c r="G3" s="125"/>
      <c r="H3" s="126"/>
      <c r="I3" s="125"/>
      <c r="J3" s="236" t="s">
        <v>157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</row>
    <row r="4" spans="1:121" s="1" customFormat="1" ht="15.75">
      <c r="A4" s="179" t="s">
        <v>158</v>
      </c>
      <c r="B4" s="125"/>
      <c r="C4" s="125"/>
      <c r="D4" s="126"/>
      <c r="E4" s="126"/>
      <c r="F4" s="126"/>
      <c r="G4" s="125"/>
      <c r="H4" s="126"/>
      <c r="I4" s="125"/>
      <c r="J4" s="236" t="s">
        <v>159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</row>
    <row r="5" spans="1:121" s="1" customFormat="1" ht="15.75">
      <c r="A5" s="179" t="s">
        <v>160</v>
      </c>
      <c r="B5" s="125"/>
      <c r="C5" s="125"/>
      <c r="D5" s="126"/>
      <c r="E5" s="126"/>
      <c r="F5" s="126"/>
      <c r="G5" s="125"/>
      <c r="H5" s="126"/>
      <c r="I5" s="125"/>
      <c r="J5" s="214" t="s">
        <v>161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</row>
    <row r="6" spans="1:121" s="1" customFormat="1" ht="15.75">
      <c r="A6" s="174" t="s">
        <v>624</v>
      </c>
      <c r="C6" s="24" t="s">
        <v>287</v>
      </c>
      <c r="D6" s="24" t="s">
        <v>355</v>
      </c>
      <c r="E6" s="3">
        <v>2.6</v>
      </c>
      <c r="F6" s="14">
        <f>IF(D6="ag-01",0.12,IF(D6="ag-04",0.13,IF(D6="ar-03",12.03,IF(D6="ld-01",0.12,IF(D6="op-02",4.31,IF(D6="op-01",6.89))))))</f>
        <v>0.12</v>
      </c>
      <c r="G6" s="25">
        <f>E6*F6</f>
        <v>0.312</v>
      </c>
      <c r="I6" s="95">
        <f>SUM(G6:H10)</f>
        <v>6.34371</v>
      </c>
      <c r="J6" s="5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</row>
    <row r="7" spans="1:121" s="1" customFormat="1" ht="15.75">
      <c r="A7" s="174" t="s">
        <v>559</v>
      </c>
      <c r="B7" s="24"/>
      <c r="C7" s="24" t="s">
        <v>357</v>
      </c>
      <c r="D7" s="24" t="s">
        <v>560</v>
      </c>
      <c r="E7" s="3">
        <v>0.007</v>
      </c>
      <c r="F7" s="14">
        <f>IF(D7="ag-01",0.12,IF(D7="ag-04",0.13,IF(D7="ar-03",12.03,IF(D7="ld-01",0.12,IF(D7="op-02",4.31,IF(D7="op-01",6.89))))))</f>
        <v>12.03</v>
      </c>
      <c r="G7" s="25">
        <f>E7*F7</f>
        <v>0.08421</v>
      </c>
      <c r="I7" s="95"/>
      <c r="J7" s="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</row>
    <row r="8" spans="1:121" s="1" customFormat="1" ht="15.75">
      <c r="A8" s="174" t="s">
        <v>162</v>
      </c>
      <c r="B8" s="24"/>
      <c r="C8" s="24" t="s">
        <v>574</v>
      </c>
      <c r="D8" s="24" t="s">
        <v>626</v>
      </c>
      <c r="E8" s="3">
        <v>30</v>
      </c>
      <c r="F8" s="14">
        <f>IF(D8="ag-01",0.12,IF(D8="ag-04",0.13,IF(D8="ar-03",12.03,IF(D8="ld-01",0.12,IF(D8="op-02",4.31,IF(D8="op-01",6.89))))))</f>
        <v>0.12</v>
      </c>
      <c r="G8" s="25">
        <f>E8*F8</f>
        <v>3.5999999999999996</v>
      </c>
      <c r="I8" s="95"/>
      <c r="J8" s="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</row>
    <row r="9" spans="1:121" s="1" customFormat="1" ht="15.75">
      <c r="A9" s="174" t="s">
        <v>289</v>
      </c>
      <c r="B9" s="24"/>
      <c r="C9" s="24" t="s">
        <v>228</v>
      </c>
      <c r="D9" s="24" t="s">
        <v>290</v>
      </c>
      <c r="E9" s="3">
        <v>0.15</v>
      </c>
      <c r="F9" s="14">
        <f>+C128</f>
        <v>6.89</v>
      </c>
      <c r="H9" s="25">
        <f>E9*F9</f>
        <v>1.0334999999999999</v>
      </c>
      <c r="I9" s="95"/>
      <c r="J9" s="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</row>
    <row r="10" spans="1:121" s="1" customFormat="1" ht="15.75">
      <c r="A10" s="174" t="s">
        <v>227</v>
      </c>
      <c r="B10" s="24"/>
      <c r="C10" s="24" t="s">
        <v>228</v>
      </c>
      <c r="D10" s="24" t="s">
        <v>229</v>
      </c>
      <c r="E10" s="3">
        <v>0.3</v>
      </c>
      <c r="F10" s="14">
        <f>+C129</f>
        <v>4.38</v>
      </c>
      <c r="H10" s="25">
        <f>E10*F10</f>
        <v>1.3139999999999998</v>
      </c>
      <c r="I10" s="95"/>
      <c r="J10" s="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</row>
    <row r="11" spans="1:10" ht="16.5" thickBot="1">
      <c r="A11" s="90"/>
      <c r="B11" s="72"/>
      <c r="C11" s="28"/>
      <c r="D11" s="28"/>
      <c r="E11" s="8"/>
      <c r="F11" s="73"/>
      <c r="G11" s="252">
        <f>SUM(G6:G8)</f>
        <v>3.9962099999999996</v>
      </c>
      <c r="H11" s="252">
        <f>SUM(H9:H10)</f>
        <v>2.3474999999999997</v>
      </c>
      <c r="I11" s="88"/>
      <c r="J11" s="11"/>
    </row>
    <row r="12" spans="1:10" ht="16.5" thickTop="1">
      <c r="A12" s="177">
        <v>19.2</v>
      </c>
      <c r="B12" s="113"/>
      <c r="C12" s="69"/>
      <c r="D12" s="69"/>
      <c r="E12" s="70"/>
      <c r="F12" s="139"/>
      <c r="G12" s="115"/>
      <c r="H12" s="115"/>
      <c r="I12" s="89"/>
      <c r="J12" s="71"/>
    </row>
    <row r="13" spans="1:121" s="1" customFormat="1" ht="15.75">
      <c r="A13" s="173" t="s">
        <v>163</v>
      </c>
      <c r="B13" s="24"/>
      <c r="C13" s="24"/>
      <c r="D13" s="24"/>
      <c r="E13" s="3"/>
      <c r="F13" s="14"/>
      <c r="G13" s="85"/>
      <c r="H13" s="85"/>
      <c r="I13" s="95"/>
      <c r="J13" s="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</row>
    <row r="14" spans="1:121" s="1" customFormat="1" ht="15.75">
      <c r="A14" s="173" t="s">
        <v>164</v>
      </c>
      <c r="B14" s="24"/>
      <c r="C14" s="24"/>
      <c r="D14" s="24"/>
      <c r="E14" s="3"/>
      <c r="F14" s="14"/>
      <c r="G14" s="85"/>
      <c r="H14" s="85"/>
      <c r="I14" s="95"/>
      <c r="J14" s="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</row>
    <row r="15" spans="1:121" s="1" customFormat="1" ht="15.75">
      <c r="A15" s="174" t="s">
        <v>624</v>
      </c>
      <c r="B15" s="24"/>
      <c r="C15" s="24" t="s">
        <v>287</v>
      </c>
      <c r="D15" s="24" t="s">
        <v>355</v>
      </c>
      <c r="E15" s="3">
        <v>3.45</v>
      </c>
      <c r="F15" s="14">
        <f>IF(D15="ag-01",0.12,IF(D15="ag-04",0.13,IF(D15="ar-03",12.03,IF(D15="ld-03",0.17,IF(D15="op-02",4.31,IF(D15="op-01",6.89,IF(D15="ai-02",100,IF(D15="ai-03",3.5))))))))</f>
        <v>0.12</v>
      </c>
      <c r="G15" s="25">
        <f>E15*F15</f>
        <v>0.414</v>
      </c>
      <c r="I15" s="95">
        <f>SUM(G15:H19)</f>
        <v>8.22477</v>
      </c>
      <c r="J15" s="5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</row>
    <row r="16" spans="1:121" s="1" customFormat="1" ht="15.75">
      <c r="A16" s="174" t="s">
        <v>559</v>
      </c>
      <c r="B16" s="24"/>
      <c r="C16" s="24" t="s">
        <v>357</v>
      </c>
      <c r="D16" s="24" t="s">
        <v>560</v>
      </c>
      <c r="E16" s="3">
        <v>0.009</v>
      </c>
      <c r="F16" s="14">
        <f>IF(D16="ag-01",0.12,IF(D16="ag-04",0.13,IF(D16="ar-03",12.03,IF(D16="ld-03",0.17,IF(D16="op-02",4.31,IF(D16="op-01",6.89,IF(D16="ai-02",100,IF(D16="ai-03",3.5))))))))</f>
        <v>12.03</v>
      </c>
      <c r="G16" s="25">
        <f>E16*F16</f>
        <v>0.10826999999999999</v>
      </c>
      <c r="I16" s="95"/>
      <c r="J16" s="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1:121" s="1" customFormat="1" ht="15.75">
      <c r="A17" s="174" t="s">
        <v>165</v>
      </c>
      <c r="B17" s="24"/>
      <c r="C17" s="24" t="s">
        <v>574</v>
      </c>
      <c r="D17" s="24" t="s">
        <v>628</v>
      </c>
      <c r="E17" s="3">
        <v>31.5</v>
      </c>
      <c r="F17" s="14">
        <f>IF(D17="ag-01",0.12,IF(D17="ag-04",0.13,IF(D17="ar-03",12.03,IF(D17="ld-03",0.17,IF(D17="op-02",4.31,IF(D17="op-01",6.89,IF(D17="ai-02",100,IF(D17="ai-03",3.5))))))))</f>
        <v>0.17</v>
      </c>
      <c r="G17" s="25">
        <f>E17*F17</f>
        <v>5.355</v>
      </c>
      <c r="I17" s="95"/>
      <c r="J17" s="5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</row>
    <row r="18" spans="1:121" s="1" customFormat="1" ht="15.75">
      <c r="A18" s="174" t="s">
        <v>289</v>
      </c>
      <c r="B18" s="24"/>
      <c r="C18" s="24" t="s">
        <v>228</v>
      </c>
      <c r="D18" s="24" t="s">
        <v>290</v>
      </c>
      <c r="E18" s="3">
        <v>0.15</v>
      </c>
      <c r="F18" s="14">
        <f>+C128</f>
        <v>6.89</v>
      </c>
      <c r="H18" s="25">
        <f>E18*F18</f>
        <v>1.0334999999999999</v>
      </c>
      <c r="I18" s="95"/>
      <c r="J18" s="5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</row>
    <row r="19" spans="1:121" s="1" customFormat="1" ht="15.75">
      <c r="A19" s="174" t="s">
        <v>227</v>
      </c>
      <c r="B19" s="24"/>
      <c r="C19" s="24" t="s">
        <v>228</v>
      </c>
      <c r="D19" s="24" t="s">
        <v>229</v>
      </c>
      <c r="E19" s="3">
        <v>0.3</v>
      </c>
      <c r="F19" s="14">
        <f>+C129</f>
        <v>4.38</v>
      </c>
      <c r="H19" s="25">
        <f>E19*F19</f>
        <v>1.3139999999999998</v>
      </c>
      <c r="I19" s="95"/>
      <c r="J19" s="5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</row>
    <row r="20" spans="1:10" ht="16.5" thickBot="1">
      <c r="A20" s="90"/>
      <c r="B20" s="72"/>
      <c r="C20" s="28"/>
      <c r="D20" s="28"/>
      <c r="E20" s="8"/>
      <c r="F20" s="73"/>
      <c r="G20" s="252">
        <f>SUM(G15:G17)</f>
        <v>5.87727</v>
      </c>
      <c r="H20" s="252">
        <f>SUM(H18:H19)</f>
        <v>2.3474999999999997</v>
      </c>
      <c r="I20" s="88"/>
      <c r="J20" s="11"/>
    </row>
    <row r="21" spans="1:10" ht="16.5" thickTop="1">
      <c r="A21" s="168">
        <v>19.3</v>
      </c>
      <c r="B21" s="113"/>
      <c r="C21" s="69"/>
      <c r="D21" s="69"/>
      <c r="E21" s="70"/>
      <c r="F21" s="139"/>
      <c r="G21" s="115"/>
      <c r="H21" s="115"/>
      <c r="I21" s="89"/>
      <c r="J21" s="71"/>
    </row>
    <row r="22" spans="1:121" s="1" customFormat="1" ht="15.75">
      <c r="A22" s="173" t="s">
        <v>166</v>
      </c>
      <c r="B22" s="24"/>
      <c r="C22" s="24"/>
      <c r="D22" s="24"/>
      <c r="E22" s="3"/>
      <c r="F22" s="14"/>
      <c r="G22" s="85"/>
      <c r="H22" s="85"/>
      <c r="I22" s="95"/>
      <c r="J22" s="5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</row>
    <row r="23" spans="1:121" s="1" customFormat="1" ht="15.75">
      <c r="A23" s="173" t="s">
        <v>167</v>
      </c>
      <c r="B23" s="24"/>
      <c r="C23" s="24" t="s">
        <v>287</v>
      </c>
      <c r="D23" s="24" t="s">
        <v>355</v>
      </c>
      <c r="E23" s="3">
        <v>19</v>
      </c>
      <c r="F23" s="14">
        <f>IF(D23="ag-01",0.12,IF(D23="ag-04",0.13,IF(D23="ar-03",12.03,IF(D23="ld-03",0.17,IF(D23="op-02",4.31,IF(D23="op-01",6.89,IF(D23="ai-02",100,IF(D23="ai-03",3.5))))))))</f>
        <v>0.12</v>
      </c>
      <c r="G23" s="25">
        <f>E23*F23</f>
        <v>2.28</v>
      </c>
      <c r="I23" s="95">
        <f>SUM(G23:H27)</f>
        <v>18.7517</v>
      </c>
      <c r="J23" s="5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</row>
    <row r="24" spans="1:121" s="1" customFormat="1" ht="15.75">
      <c r="A24" s="174" t="s">
        <v>978</v>
      </c>
      <c r="B24" s="24"/>
      <c r="C24" s="24" t="s">
        <v>357</v>
      </c>
      <c r="D24" s="24" t="s">
        <v>979</v>
      </c>
      <c r="E24" s="3">
        <v>0.105</v>
      </c>
      <c r="F24" s="14">
        <f>IF(D24="ag-01",0.12,IF(D24="ag-04",0.13,IF(D24="ar-03",12.03,IF(D24="ld-03",0.17,IF(D24="op-02",4.31,IF(D24="op-01",6.89,IF(D24="ai-02",100,IF(D24="ai-03",3.5))))))))</f>
        <v>100</v>
      </c>
      <c r="G24" s="25">
        <f>E24*F24</f>
        <v>10.5</v>
      </c>
      <c r="I24" s="95"/>
      <c r="J24" s="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</row>
    <row r="25" spans="1:121" s="1" customFormat="1" ht="15.75">
      <c r="A25" s="174" t="s">
        <v>980</v>
      </c>
      <c r="B25" s="24"/>
      <c r="C25" s="24" t="s">
        <v>317</v>
      </c>
      <c r="D25" s="24" t="s">
        <v>981</v>
      </c>
      <c r="E25" s="3">
        <v>0.1</v>
      </c>
      <c r="F25" s="14">
        <f>IF(D25="ag-01",0.12,IF(D25="ag-04",0.13,IF(D25="ar-03",12.03,IF(D25="ld-03",0.17,IF(D25="op-02",4.31,IF(D25="op-01",6.89,IF(D25="ai-02",100,IF(D25="ai-03",3.5))))))))</f>
        <v>3.5</v>
      </c>
      <c r="G25" s="25">
        <f>E25*F25</f>
        <v>0.35000000000000003</v>
      </c>
      <c r="I25" s="95"/>
      <c r="J25" s="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</row>
    <row r="26" spans="1:121" s="1" customFormat="1" ht="15.75">
      <c r="A26" s="174" t="s">
        <v>289</v>
      </c>
      <c r="B26" s="24"/>
      <c r="C26" s="24" t="s">
        <v>228</v>
      </c>
      <c r="D26" s="24" t="s">
        <v>290</v>
      </c>
      <c r="E26" s="3">
        <v>0.39</v>
      </c>
      <c r="F26" s="14">
        <f>+C128</f>
        <v>6.89</v>
      </c>
      <c r="H26" s="25">
        <f>E26*F26</f>
        <v>2.6871</v>
      </c>
      <c r="I26" s="95"/>
      <c r="J26" s="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</row>
    <row r="27" spans="1:121" s="1" customFormat="1" ht="15.75">
      <c r="A27" s="174" t="s">
        <v>227</v>
      </c>
      <c r="B27" s="24"/>
      <c r="C27" s="24" t="s">
        <v>228</v>
      </c>
      <c r="D27" s="24" t="s">
        <v>229</v>
      </c>
      <c r="E27" s="3">
        <v>0.67</v>
      </c>
      <c r="F27" s="14">
        <f>+C129</f>
        <v>4.38</v>
      </c>
      <c r="H27" s="25">
        <f>E27*F27</f>
        <v>2.9346</v>
      </c>
      <c r="I27" s="95"/>
      <c r="J27" s="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</row>
    <row r="28" spans="1:10" ht="16.5" thickBot="1">
      <c r="A28" s="90"/>
      <c r="B28" s="72"/>
      <c r="C28" s="28"/>
      <c r="D28" s="28"/>
      <c r="E28" s="8"/>
      <c r="F28" s="73"/>
      <c r="G28" s="67">
        <f>SUM(G23:G25)</f>
        <v>13.129999999999999</v>
      </c>
      <c r="H28" s="252">
        <f>SUM(H26:H27)</f>
        <v>5.621700000000001</v>
      </c>
      <c r="I28" s="88"/>
      <c r="J28" s="11"/>
    </row>
    <row r="29" spans="1:10" ht="16.5" thickTop="1">
      <c r="A29" s="168">
        <v>19.4</v>
      </c>
      <c r="B29" s="113"/>
      <c r="C29" s="69"/>
      <c r="D29" s="69"/>
      <c r="E29" s="70"/>
      <c r="F29" s="139"/>
      <c r="G29" s="115"/>
      <c r="H29" s="115"/>
      <c r="I29" s="89"/>
      <c r="J29" s="71"/>
    </row>
    <row r="30" spans="1:121" s="1" customFormat="1" ht="15.75">
      <c r="A30" s="173" t="s">
        <v>168</v>
      </c>
      <c r="B30" s="24"/>
      <c r="C30" s="24"/>
      <c r="D30" s="24"/>
      <c r="E30" s="3"/>
      <c r="F30" s="14"/>
      <c r="G30" s="85"/>
      <c r="H30" s="85"/>
      <c r="I30" s="95"/>
      <c r="J30" s="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</row>
    <row r="31" spans="1:121" s="1" customFormat="1" ht="15.75">
      <c r="A31" s="173" t="s">
        <v>169</v>
      </c>
      <c r="B31" s="24"/>
      <c r="C31" s="24"/>
      <c r="D31" s="24"/>
      <c r="E31" s="3"/>
      <c r="F31" s="14"/>
      <c r="G31" s="85"/>
      <c r="H31" s="85"/>
      <c r="I31" s="95"/>
      <c r="J31" s="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</row>
    <row r="32" spans="1:121" s="1" customFormat="1" ht="15.75">
      <c r="A32" s="173" t="s">
        <v>170</v>
      </c>
      <c r="B32" s="24"/>
      <c r="C32" s="24"/>
      <c r="D32" s="24"/>
      <c r="E32" s="3"/>
      <c r="F32" s="14"/>
      <c r="G32" s="85"/>
      <c r="H32" s="85"/>
      <c r="I32" s="95"/>
      <c r="J32" s="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</row>
    <row r="33" spans="1:121" s="1" customFormat="1" ht="15.75">
      <c r="A33" s="174" t="s">
        <v>624</v>
      </c>
      <c r="B33" s="24"/>
      <c r="C33" s="24" t="s">
        <v>287</v>
      </c>
      <c r="D33" s="24" t="s">
        <v>355</v>
      </c>
      <c r="E33" s="3">
        <v>3</v>
      </c>
      <c r="F33" s="14">
        <f>IF(D33="ag-01",0.12,IF(D33="ag-02",0.09,IF(D33="ar-03",12.03,IF(D33="az-08",5.5,IF(D33="op-02",4.31,IF(D33="op-01",6.89,IF(D33="ai-02",100,IF(D33="ai-03",3.5))))))))</f>
        <v>0.12</v>
      </c>
      <c r="G33" s="25">
        <f>E33*F33</f>
        <v>0.36</v>
      </c>
      <c r="I33" s="95">
        <f>SUM(G33:H38)</f>
        <v>15.17405</v>
      </c>
      <c r="J33" s="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</row>
    <row r="34" spans="1:121" s="1" customFormat="1" ht="15.75">
      <c r="A34" s="174" t="s">
        <v>557</v>
      </c>
      <c r="B34" s="24"/>
      <c r="C34" s="24" t="s">
        <v>287</v>
      </c>
      <c r="D34" s="24" t="s">
        <v>377</v>
      </c>
      <c r="E34" s="3">
        <v>5.6</v>
      </c>
      <c r="F34" s="14">
        <f>IF(D34="ag-01",0.12,IF(D34="ag-02",0.09,IF(D34="ar-03",12.03,IF(D34="az-08",5.5,IF(D34="op-02",4.31,IF(D34="op-01",6.89,IF(D34="ai-02",100,IF(D34="ai-03",3.5))))))))</f>
        <v>0.09</v>
      </c>
      <c r="G34" s="25">
        <f>E34*F34</f>
        <v>0.504</v>
      </c>
      <c r="I34" s="95"/>
      <c r="J34" s="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</row>
    <row r="35" spans="1:121" s="1" customFormat="1" ht="15.75">
      <c r="A35" s="174" t="s">
        <v>559</v>
      </c>
      <c r="B35" s="24"/>
      <c r="C35" s="24" t="s">
        <v>357</v>
      </c>
      <c r="D35" s="24" t="s">
        <v>560</v>
      </c>
      <c r="E35" s="3">
        <v>0.035</v>
      </c>
      <c r="F35" s="14">
        <f>IF(D35="ag-01",0.12,IF(D35="ag-02",0.09,IF(D35="ar-03",12.03,IF(D35="az-08",5.5,IF(D35="op-02",4.31,IF(D35="op-01",6.89,IF(D35="ai-02",100,IF(D35="ai-03",3.5))))))))</f>
        <v>12.03</v>
      </c>
      <c r="G35" s="25">
        <f>E35*F35</f>
        <v>0.42105000000000004</v>
      </c>
      <c r="I35" s="95"/>
      <c r="J35" s="5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</row>
    <row r="36" spans="1:121" s="1" customFormat="1" ht="15.75">
      <c r="A36" s="174" t="s">
        <v>171</v>
      </c>
      <c r="B36" s="24"/>
      <c r="C36" s="24" t="s">
        <v>574</v>
      </c>
      <c r="D36" s="24" t="s">
        <v>172</v>
      </c>
      <c r="E36" s="3">
        <v>23</v>
      </c>
      <c r="F36" s="14">
        <v>0.22</v>
      </c>
      <c r="G36" s="25">
        <f>E36*F36</f>
        <v>5.06</v>
      </c>
      <c r="I36" s="95"/>
      <c r="J36" s="5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</row>
    <row r="37" spans="1:121" s="1" customFormat="1" ht="15.75">
      <c r="A37" s="174" t="s">
        <v>289</v>
      </c>
      <c r="B37" s="24"/>
      <c r="C37" s="24" t="s">
        <v>228</v>
      </c>
      <c r="D37" s="24" t="s">
        <v>290</v>
      </c>
      <c r="E37" s="3">
        <v>0.9</v>
      </c>
      <c r="F37" s="14">
        <f>+C128</f>
        <v>6.89</v>
      </c>
      <c r="H37" s="25">
        <f>E37*F37</f>
        <v>6.201</v>
      </c>
      <c r="I37" s="95"/>
      <c r="J37" s="5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</row>
    <row r="38" spans="1:121" s="1" customFormat="1" ht="15.75">
      <c r="A38" s="174" t="s">
        <v>227</v>
      </c>
      <c r="B38" s="24"/>
      <c r="C38" s="24" t="s">
        <v>228</v>
      </c>
      <c r="D38" s="24" t="s">
        <v>229</v>
      </c>
      <c r="E38" s="3">
        <v>0.6</v>
      </c>
      <c r="F38" s="14">
        <f>+C129</f>
        <v>4.38</v>
      </c>
      <c r="H38" s="25">
        <f>E38*F38</f>
        <v>2.6279999999999997</v>
      </c>
      <c r="I38" s="95"/>
      <c r="J38" s="5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</row>
    <row r="39" spans="1:10" ht="16.5" thickBot="1">
      <c r="A39" s="90"/>
      <c r="B39" s="72"/>
      <c r="C39" s="28"/>
      <c r="D39" s="28"/>
      <c r="E39" s="8"/>
      <c r="F39" s="73"/>
      <c r="G39" s="252">
        <f>SUM(G33:G36)</f>
        <v>6.34505</v>
      </c>
      <c r="H39" s="252">
        <f>SUM(H37:H38)</f>
        <v>8.828999999999999</v>
      </c>
      <c r="I39" s="88"/>
      <c r="J39" s="11"/>
    </row>
    <row r="40" spans="1:10" ht="16.5" thickTop="1">
      <c r="A40" s="168">
        <v>19.5</v>
      </c>
      <c r="B40" s="113"/>
      <c r="C40" s="69"/>
      <c r="D40" s="69"/>
      <c r="E40" s="70"/>
      <c r="F40" s="139"/>
      <c r="G40" s="115"/>
      <c r="H40" s="115"/>
      <c r="I40" s="89"/>
      <c r="J40" s="71"/>
    </row>
    <row r="41" spans="1:121" s="1" customFormat="1" ht="15.75">
      <c r="A41" s="173" t="s">
        <v>173</v>
      </c>
      <c r="B41" s="24"/>
      <c r="C41" s="24"/>
      <c r="D41" s="24"/>
      <c r="E41" s="3"/>
      <c r="F41" s="14"/>
      <c r="G41" s="85"/>
      <c r="H41" s="85"/>
      <c r="I41" s="95"/>
      <c r="J41" s="5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</row>
    <row r="42" spans="1:121" s="1" customFormat="1" ht="15.75">
      <c r="A42" s="173" t="s">
        <v>174</v>
      </c>
      <c r="B42" s="24"/>
      <c r="C42" s="24"/>
      <c r="D42" s="24"/>
      <c r="E42" s="3"/>
      <c r="F42" s="14"/>
      <c r="G42" s="85"/>
      <c r="H42" s="85"/>
      <c r="I42" s="95"/>
      <c r="J42" s="5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</row>
    <row r="43" spans="1:121" s="1" customFormat="1" ht="15.75">
      <c r="A43" s="174" t="s">
        <v>175</v>
      </c>
      <c r="B43" s="24"/>
      <c r="C43" s="24" t="s">
        <v>574</v>
      </c>
      <c r="D43" s="24" t="s">
        <v>176</v>
      </c>
      <c r="E43" s="3">
        <v>6</v>
      </c>
      <c r="F43" s="14">
        <f>IF(D43="ag-01",0.12,IF(D43="ag-02",0.09,IF(D43="ar-03",12.03,IF(D43="az-09",2.5,IF(D43="op-02",4.31,IF(D43="op-01",6.89,IF(D43="ai-02",100,IF(D43="ai-03",3.5))))))))</f>
        <v>2.5</v>
      </c>
      <c r="G43" s="25">
        <f>E43*F43</f>
        <v>15</v>
      </c>
      <c r="I43" s="95">
        <f>SUM(G43:H45)</f>
        <v>17.7855</v>
      </c>
      <c r="J43" s="5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</row>
    <row r="44" spans="1:121" s="1" customFormat="1" ht="15.75">
      <c r="A44" s="174" t="s">
        <v>289</v>
      </c>
      <c r="B44" s="24"/>
      <c r="C44" s="24" t="s">
        <v>228</v>
      </c>
      <c r="D44" s="24" t="s">
        <v>290</v>
      </c>
      <c r="E44" s="3">
        <v>0.15</v>
      </c>
      <c r="F44" s="14">
        <f>+C128</f>
        <v>6.89</v>
      </c>
      <c r="H44" s="25">
        <f>E44*F44</f>
        <v>1.0334999999999999</v>
      </c>
      <c r="I44" s="95"/>
      <c r="J44" s="5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</row>
    <row r="45" spans="1:121" s="1" customFormat="1" ht="15.75">
      <c r="A45" s="174" t="s">
        <v>227</v>
      </c>
      <c r="B45" s="24"/>
      <c r="C45" s="24" t="s">
        <v>228</v>
      </c>
      <c r="D45" s="24" t="s">
        <v>229</v>
      </c>
      <c r="E45" s="3">
        <v>0.4</v>
      </c>
      <c r="F45" s="14">
        <f>+C129</f>
        <v>4.38</v>
      </c>
      <c r="H45" s="25">
        <f>E45*F45</f>
        <v>1.752</v>
      </c>
      <c r="I45" s="95"/>
      <c r="J45" s="5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</row>
    <row r="46" spans="1:10" ht="16.5" thickBot="1">
      <c r="A46" s="90"/>
      <c r="B46" s="72"/>
      <c r="C46" s="28"/>
      <c r="D46" s="28"/>
      <c r="E46" s="8"/>
      <c r="F46" s="73"/>
      <c r="G46" s="67">
        <f>E43*F43</f>
        <v>15</v>
      </c>
      <c r="H46" s="252">
        <f>SUM(H44:H45)</f>
        <v>2.7855</v>
      </c>
      <c r="I46" s="88"/>
      <c r="J46" s="11"/>
    </row>
    <row r="47" spans="1:10" ht="16.5" thickTop="1">
      <c r="A47" s="168">
        <v>19.6</v>
      </c>
      <c r="B47" s="113"/>
      <c r="C47" s="69"/>
      <c r="D47" s="69"/>
      <c r="E47" s="70"/>
      <c r="F47" s="139"/>
      <c r="G47" s="115"/>
      <c r="H47" s="115"/>
      <c r="I47" s="89"/>
      <c r="J47" s="71"/>
    </row>
    <row r="48" spans="1:121" s="1" customFormat="1" ht="15.75">
      <c r="A48" s="173" t="s">
        <v>177</v>
      </c>
      <c r="B48" s="24"/>
      <c r="C48" s="24"/>
      <c r="D48" s="24"/>
      <c r="E48" s="3"/>
      <c r="F48" s="14"/>
      <c r="G48" s="85"/>
      <c r="H48" s="85"/>
      <c r="I48" s="95"/>
      <c r="J48" s="5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</row>
    <row r="49" spans="1:121" s="1" customFormat="1" ht="15.75">
      <c r="A49" s="173" t="s">
        <v>178</v>
      </c>
      <c r="B49" s="24"/>
      <c r="C49" s="24"/>
      <c r="D49" s="24"/>
      <c r="E49" s="3"/>
      <c r="F49" s="14"/>
      <c r="G49" s="85"/>
      <c r="H49" s="85"/>
      <c r="I49" s="95"/>
      <c r="J49" s="5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</row>
    <row r="50" spans="1:121" s="1" customFormat="1" ht="15.75">
      <c r="A50" s="173" t="s">
        <v>179</v>
      </c>
      <c r="B50" s="24"/>
      <c r="C50" s="24"/>
      <c r="D50" s="24"/>
      <c r="E50" s="3"/>
      <c r="F50" s="14"/>
      <c r="G50" s="85"/>
      <c r="H50" s="85"/>
      <c r="I50" s="95"/>
      <c r="J50" s="5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</row>
    <row r="51" spans="1:121" s="1" customFormat="1" ht="15.75">
      <c r="A51" s="172" t="s">
        <v>180</v>
      </c>
      <c r="B51" s="24"/>
      <c r="C51" s="24" t="s">
        <v>287</v>
      </c>
      <c r="D51" s="24" t="s">
        <v>355</v>
      </c>
      <c r="E51" s="3">
        <v>4.2</v>
      </c>
      <c r="F51" s="14">
        <f>IF(D51="ag-01",0.12,IF(D51="ag-02",0.09,IF(D51="ar-03",12.03,IF(D51="az-10",1.81,IF(D51="op-02",4.31,IF(D51="op-01",6.89,IF(D51="ld-01",0.12,IF(D51="ai-03",3.5))))))))</f>
        <v>0.12</v>
      </c>
      <c r="G51" s="25">
        <f>E51*F51</f>
        <v>0.504</v>
      </c>
      <c r="I51" s="95">
        <f>SUM(G51:H57)</f>
        <v>31.606749999999998</v>
      </c>
      <c r="J51" s="5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</row>
    <row r="52" spans="1:121" s="1" customFormat="1" ht="15.75">
      <c r="A52" s="174" t="s">
        <v>557</v>
      </c>
      <c r="B52" s="24"/>
      <c r="C52" s="24" t="s">
        <v>287</v>
      </c>
      <c r="D52" s="24" t="s">
        <v>377</v>
      </c>
      <c r="E52" s="3">
        <v>9.4</v>
      </c>
      <c r="F52" s="14">
        <f>IF(D52="ag-01",0.12,IF(D52="ag-02",0.09,IF(D52="ar-03",12.03,IF(D52="az-10",1.81,IF(D52="op-02",4.31,IF(D52="op-01",6.89,IF(D52="ld-01",0.12,IF(D52="ai-03",3.5))))))))</f>
        <v>0.09</v>
      </c>
      <c r="G52" s="25">
        <f>E52*F52</f>
        <v>0.846</v>
      </c>
      <c r="I52" s="95"/>
      <c r="J52" s="5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</row>
    <row r="53" spans="1:121" s="1" customFormat="1" ht="15.75">
      <c r="A53" s="174" t="s">
        <v>559</v>
      </c>
      <c r="B53" s="24"/>
      <c r="C53" s="24" t="s">
        <v>357</v>
      </c>
      <c r="D53" s="24" t="s">
        <v>560</v>
      </c>
      <c r="E53" s="3">
        <v>0.055</v>
      </c>
      <c r="F53" s="14">
        <f>IF(D53="ag-01",0.12,IF(D53="ag-02",0.09,IF(D53="ar-03",12.03,IF(D53="az-10",1.81,IF(D53="op-02",4.31,IF(D53="op-01",6.89,IF(D53="ld-01",0.12,IF(D53="ai-03",3.5))))))))</f>
        <v>12.03</v>
      </c>
      <c r="G53" s="25">
        <f>E53*F53</f>
        <v>0.66165</v>
      </c>
      <c r="I53" s="95"/>
      <c r="J53" s="5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</row>
    <row r="54" spans="1:121" s="1" customFormat="1" ht="15.75">
      <c r="A54" s="174" t="s">
        <v>692</v>
      </c>
      <c r="B54" s="24"/>
      <c r="C54" s="24" t="s">
        <v>574</v>
      </c>
      <c r="D54" s="24" t="s">
        <v>626</v>
      </c>
      <c r="E54" s="3">
        <v>50</v>
      </c>
      <c r="F54" s="14">
        <f>IF(D54="ag-01",0.12,IF(D54="ag-02",0.09,IF(D54="ar-03",12.03,IF(D54="az-10",1.81,IF(D54="op-02",4.31,IF(D54="op-01",6.89,IF(D54="ld-01",0.12,IF(D54="ai-03",3.5))))))))</f>
        <v>0.12</v>
      </c>
      <c r="G54" s="25">
        <f>E54*F54</f>
        <v>6</v>
      </c>
      <c r="I54" s="95"/>
      <c r="J54" s="5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</row>
    <row r="55" spans="1:121" s="1" customFormat="1" ht="15.75">
      <c r="A55" s="174" t="s">
        <v>175</v>
      </c>
      <c r="B55" s="24"/>
      <c r="C55" s="24" t="s">
        <v>574</v>
      </c>
      <c r="D55" s="24" t="s">
        <v>181</v>
      </c>
      <c r="E55" s="3">
        <v>6</v>
      </c>
      <c r="F55" s="14">
        <f>IF(D55="ag-01",0.12,IF(D55="ag-02",0.09,IF(D55="ar-03",12.03,IF(D55="az-10",1.81,IF(D55="op-02",4.31,IF(D55="op-01",6.89,IF(D55="ld-01",0.12,IF(D55="ai-03",3.5))))))))</f>
        <v>1.81</v>
      </c>
      <c r="G55" s="25">
        <f>E55*F55</f>
        <v>10.86</v>
      </c>
      <c r="I55" s="95"/>
      <c r="J55" s="5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</row>
    <row r="56" spans="1:121" s="1" customFormat="1" ht="15.75">
      <c r="A56" s="174" t="s">
        <v>289</v>
      </c>
      <c r="B56" s="24"/>
      <c r="C56" s="24" t="s">
        <v>228</v>
      </c>
      <c r="D56" s="24" t="s">
        <v>290</v>
      </c>
      <c r="E56" s="3">
        <v>1.13</v>
      </c>
      <c r="F56" s="14">
        <f>+C128</f>
        <v>6.89</v>
      </c>
      <c r="H56" s="25">
        <f>E56*F56</f>
        <v>7.7856999999999985</v>
      </c>
      <c r="I56" s="95"/>
      <c r="J56" s="5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</row>
    <row r="57" spans="1:121" s="1" customFormat="1" ht="15.75">
      <c r="A57" s="174" t="s">
        <v>227</v>
      </c>
      <c r="B57" s="24"/>
      <c r="C57" s="24" t="s">
        <v>228</v>
      </c>
      <c r="D57" s="24" t="s">
        <v>229</v>
      </c>
      <c r="E57" s="3">
        <v>1.13</v>
      </c>
      <c r="F57" s="14">
        <f>+C129</f>
        <v>4.38</v>
      </c>
      <c r="H57" s="25">
        <f>E57*F57</f>
        <v>4.9494</v>
      </c>
      <c r="I57" s="95"/>
      <c r="J57" s="5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</row>
    <row r="58" spans="1:10" ht="16.5" thickBot="1">
      <c r="A58" s="90"/>
      <c r="B58" s="72"/>
      <c r="C58" s="28"/>
      <c r="D58" s="28"/>
      <c r="E58" s="8"/>
      <c r="F58" s="73"/>
      <c r="G58" s="252">
        <f>SUM(G51:G55)</f>
        <v>18.87165</v>
      </c>
      <c r="H58" s="67">
        <f>SUM(H56:H57)</f>
        <v>12.7351</v>
      </c>
      <c r="I58" s="88"/>
      <c r="J58" s="11"/>
    </row>
    <row r="59" spans="1:10" ht="16.5" thickTop="1">
      <c r="A59" s="168">
        <v>19.7</v>
      </c>
      <c r="B59" s="113"/>
      <c r="C59" s="69"/>
      <c r="D59" s="69"/>
      <c r="E59" s="70"/>
      <c r="F59" s="139"/>
      <c r="G59" s="115"/>
      <c r="H59" s="115"/>
      <c r="I59" s="89"/>
      <c r="J59" s="71"/>
    </row>
    <row r="60" spans="1:121" s="1" customFormat="1" ht="15.75">
      <c r="A60" s="173" t="s">
        <v>182</v>
      </c>
      <c r="B60" s="24"/>
      <c r="C60" s="24"/>
      <c r="D60" s="24"/>
      <c r="E60" s="3"/>
      <c r="F60" s="14"/>
      <c r="G60" s="85"/>
      <c r="H60" s="85"/>
      <c r="I60" s="95"/>
      <c r="J60" s="5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</row>
    <row r="61" spans="1:121" s="1" customFormat="1" ht="15.75">
      <c r="A61" s="172" t="s">
        <v>183</v>
      </c>
      <c r="B61" s="24"/>
      <c r="C61" s="24"/>
      <c r="D61" s="24"/>
      <c r="E61" s="3"/>
      <c r="F61" s="14"/>
      <c r="G61" s="85"/>
      <c r="H61" s="85"/>
      <c r="I61" s="95"/>
      <c r="J61" s="5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</row>
    <row r="62" spans="1:121" s="1" customFormat="1" ht="15.75">
      <c r="A62" s="174" t="s">
        <v>184</v>
      </c>
      <c r="B62" s="24"/>
      <c r="C62" s="24" t="s">
        <v>317</v>
      </c>
      <c r="D62" s="24" t="s">
        <v>185</v>
      </c>
      <c r="E62" s="3">
        <v>0.3</v>
      </c>
      <c r="F62" s="14">
        <f>IF(D62="ag-01",0.12,IF(D62="ag-02",0.09,IF(D62="ar-03",12.03,IF(D62="az-10",1.81,IF(D62="op-02",4.31,IF(D62="op-01",6.89,IF(D62="ld-01",0.12,IF(D62="as-05",2.16))))))))</f>
        <v>2.16</v>
      </c>
      <c r="G62" s="25">
        <f>E62*F62</f>
        <v>0.648</v>
      </c>
      <c r="I62" s="95">
        <f>SUM(G62:H63)</f>
        <v>1.7504</v>
      </c>
      <c r="J62" s="5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</row>
    <row r="63" spans="1:121" s="1" customFormat="1" ht="15.75">
      <c r="A63" s="174" t="s">
        <v>289</v>
      </c>
      <c r="B63" s="24"/>
      <c r="C63" s="24" t="s">
        <v>228</v>
      </c>
      <c r="D63" s="24" t="s">
        <v>290</v>
      </c>
      <c r="E63" s="3">
        <v>0.16</v>
      </c>
      <c r="F63" s="14">
        <f>+C128</f>
        <v>6.89</v>
      </c>
      <c r="H63" s="25">
        <f>E63*F63</f>
        <v>1.1024</v>
      </c>
      <c r="I63" s="95"/>
      <c r="J63" s="5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</row>
    <row r="64" spans="1:10" ht="16.5" thickBot="1">
      <c r="A64" s="90"/>
      <c r="B64" s="28"/>
      <c r="C64" s="28"/>
      <c r="D64" s="28"/>
      <c r="E64" s="8"/>
      <c r="F64" s="10"/>
      <c r="G64" s="252">
        <f>E62*F62</f>
        <v>0.648</v>
      </c>
      <c r="H64" s="252">
        <f>E63*F63</f>
        <v>1.1024</v>
      </c>
      <c r="I64" s="88"/>
      <c r="J64" s="11"/>
    </row>
    <row r="65" spans="1:10" ht="16.5" thickTop="1">
      <c r="A65" s="168">
        <v>19.8</v>
      </c>
      <c r="B65" s="69"/>
      <c r="C65" s="69"/>
      <c r="D65" s="69"/>
      <c r="E65" s="70"/>
      <c r="F65" s="84"/>
      <c r="G65" s="115"/>
      <c r="H65" s="115"/>
      <c r="I65" s="89"/>
      <c r="J65" s="71"/>
    </row>
    <row r="66" spans="1:121" s="1" customFormat="1" ht="15.75">
      <c r="A66" s="173" t="s">
        <v>186</v>
      </c>
      <c r="B66" s="24"/>
      <c r="C66" s="24"/>
      <c r="D66" s="24"/>
      <c r="E66" s="3"/>
      <c r="F66" s="14"/>
      <c r="G66" s="85"/>
      <c r="H66" s="85"/>
      <c r="I66" s="95"/>
      <c r="J66" s="5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</row>
    <row r="67" spans="1:121" s="1" customFormat="1" ht="15.75">
      <c r="A67" s="174" t="s">
        <v>187</v>
      </c>
      <c r="B67" s="24"/>
      <c r="C67" s="24" t="s">
        <v>287</v>
      </c>
      <c r="D67" s="24" t="s">
        <v>188</v>
      </c>
      <c r="E67" s="3">
        <v>1.05</v>
      </c>
      <c r="F67" s="14">
        <f>IF(D67="ag-01",0.12,IF(D67="ag-02",0.09,IF(D67="ar-03",12.03,IF(D67="az-10",1.81,IF(D67="op-02",4.31,IF(D67="op-01",6.89,IF(D67="ld-01",0.12,IF(D67="pi-01",3.09))))))))</f>
        <v>3.09</v>
      </c>
      <c r="G67" s="25">
        <f>E67*F67</f>
        <v>3.2445</v>
      </c>
      <c r="I67" s="95">
        <f>SUM(G67:H68)</f>
        <v>4.7603</v>
      </c>
      <c r="J67" s="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</row>
    <row r="68" spans="1:121" s="1" customFormat="1" ht="15.75">
      <c r="A68" s="174" t="s">
        <v>289</v>
      </c>
      <c r="B68" s="24"/>
      <c r="C68" s="24" t="s">
        <v>228</v>
      </c>
      <c r="D68" s="24" t="s">
        <v>290</v>
      </c>
      <c r="E68" s="3">
        <v>0.22</v>
      </c>
      <c r="F68" s="14">
        <f>+C128</f>
        <v>6.89</v>
      </c>
      <c r="H68" s="25">
        <f>E68*F68</f>
        <v>1.5158</v>
      </c>
      <c r="I68" s="95"/>
      <c r="J68" s="5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</row>
    <row r="69" spans="1:10" ht="16.5" thickBot="1">
      <c r="A69" s="90"/>
      <c r="B69" s="28"/>
      <c r="C69" s="28"/>
      <c r="D69" s="28"/>
      <c r="E69" s="8"/>
      <c r="F69" s="10"/>
      <c r="G69" s="252">
        <f>E67*F67</f>
        <v>3.2445</v>
      </c>
      <c r="H69" s="252">
        <f>E68*F68</f>
        <v>1.5158</v>
      </c>
      <c r="I69" s="88"/>
      <c r="J69" s="11"/>
    </row>
    <row r="70" spans="1:10" ht="16.5" thickTop="1">
      <c r="A70" s="168">
        <v>19.9</v>
      </c>
      <c r="B70" s="69"/>
      <c r="C70" s="69"/>
      <c r="D70" s="69"/>
      <c r="E70" s="70"/>
      <c r="F70" s="84"/>
      <c r="G70" s="115"/>
      <c r="H70" s="115"/>
      <c r="I70" s="89"/>
      <c r="J70" s="71"/>
    </row>
    <row r="71" spans="1:121" s="1" customFormat="1" ht="15.75">
      <c r="A71" s="173" t="s">
        <v>189</v>
      </c>
      <c r="B71" s="24"/>
      <c r="C71" s="24"/>
      <c r="D71" s="24"/>
      <c r="E71" s="3"/>
      <c r="F71" s="14"/>
      <c r="G71" s="85"/>
      <c r="H71" s="85"/>
      <c r="I71" s="95"/>
      <c r="J71" s="5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</row>
    <row r="72" spans="1:121" s="1" customFormat="1" ht="15.75">
      <c r="A72" s="173" t="s">
        <v>190</v>
      </c>
      <c r="B72" s="24"/>
      <c r="C72" s="24"/>
      <c r="D72" s="24"/>
      <c r="E72" s="3"/>
      <c r="F72" s="14"/>
      <c r="G72" s="85"/>
      <c r="H72" s="85"/>
      <c r="I72" s="95"/>
      <c r="J72" s="5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</row>
    <row r="73" spans="1:121" s="1" customFormat="1" ht="15.75">
      <c r="A73" s="172" t="s">
        <v>191</v>
      </c>
      <c r="B73" s="24"/>
      <c r="C73" s="24" t="s">
        <v>287</v>
      </c>
      <c r="D73" s="24" t="s">
        <v>741</v>
      </c>
      <c r="E73" s="3">
        <v>0.4</v>
      </c>
      <c r="F73" s="14">
        <f>IF(D73="as-01",0.28,IF(D73="as-02",0.71,IF(D73="as-03",0.42,IF(D73="as-06",0.57,IF(D73="op-02",4.31,IF(D73="op-01",6.89,IF(D73="cb-02",0.07,IF(D73="pi-01",3.09))))))))</f>
        <v>0.71</v>
      </c>
      <c r="G73" s="25">
        <f>E73*F73</f>
        <v>0.284</v>
      </c>
      <c r="I73" s="95">
        <f>SUM(G73:H79)</f>
        <v>10.904000000000002</v>
      </c>
      <c r="J73" s="5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</row>
    <row r="74" spans="1:121" s="1" customFormat="1" ht="15.75">
      <c r="A74" s="174" t="s">
        <v>192</v>
      </c>
      <c r="B74" s="24"/>
      <c r="C74" s="24" t="s">
        <v>287</v>
      </c>
      <c r="D74" s="24" t="s">
        <v>756</v>
      </c>
      <c r="E74" s="3">
        <v>10</v>
      </c>
      <c r="F74" s="14">
        <f>IF(D74="as-01",0.28,IF(D74="as-02",0.71,IF(D74="as-03",0.42,IF(D74="as-06",0.57,IF(D74="op-02",4.31,IF(D74="op-01",6.89,IF(D74="cb-02",0.07,IF(D74="pi-01",3.09))))))))</f>
        <v>0.42</v>
      </c>
      <c r="G74" s="25">
        <f>E74*F74</f>
        <v>4.2</v>
      </c>
      <c r="I74" s="95"/>
      <c r="J74" s="5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</row>
    <row r="75" spans="1:121" s="1" customFormat="1" ht="15.75">
      <c r="A75" s="174" t="s">
        <v>757</v>
      </c>
      <c r="B75" s="24"/>
      <c r="C75" s="24" t="s">
        <v>287</v>
      </c>
      <c r="D75" s="24" t="s">
        <v>758</v>
      </c>
      <c r="E75" s="3">
        <v>5.6</v>
      </c>
      <c r="F75" s="14">
        <f>IF(D75="as-01",0.28,IF(D75="as-02",0.71,IF(D75="as-03",0.42,IF(D75="as-06",0.57,IF(D75="op-02",4.31,IF(D75="op-01",6.89,IF(D75="cb-02",0.07,IF(D75="pi-01",3.09))))))))</f>
        <v>0.07</v>
      </c>
      <c r="G75" s="25">
        <f>E75*F75</f>
        <v>0.392</v>
      </c>
      <c r="I75" s="95"/>
      <c r="J75" s="5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</row>
    <row r="76" spans="1:121" s="1" customFormat="1" ht="15.75">
      <c r="A76" s="174" t="s">
        <v>193</v>
      </c>
      <c r="B76" s="24"/>
      <c r="C76" s="24" t="s">
        <v>294</v>
      </c>
      <c r="D76" s="24" t="s">
        <v>579</v>
      </c>
      <c r="E76" s="3">
        <v>1.2</v>
      </c>
      <c r="F76" s="14">
        <f>IF(D76="as-01",0.28,IF(D76="as-02",0.71,IF(D76="as-03",0.42,IF(D76="as-06",0.57,IF(D76="op-02",4.31,IF(D76="op-01",6.89,IF(D76="cb-02",0.07,IF(D76="pi-01",3.09))))))))</f>
        <v>0.28</v>
      </c>
      <c r="G76" s="25">
        <f>E76*F76</f>
        <v>0.336</v>
      </c>
      <c r="I76" s="95"/>
      <c r="J76" s="5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</row>
    <row r="77" spans="1:121" s="1" customFormat="1" ht="15.75">
      <c r="A77" s="174" t="s">
        <v>194</v>
      </c>
      <c r="B77" s="24"/>
      <c r="C77" s="24" t="s">
        <v>294</v>
      </c>
      <c r="D77" s="24" t="s">
        <v>195</v>
      </c>
      <c r="E77" s="3">
        <v>1.2</v>
      </c>
      <c r="F77" s="14">
        <f>IF(D77="as-01",0.28,IF(D77="as-02",0.71,IF(D77="as-03",0.42,IF(D77="as-06",0.57,IF(D77="op-02",4.31,IF(D77="op-01",6.89,IF(D77="cb-02",0.07,IF(D77="pi-01",3.09))))))))</f>
        <v>0.57</v>
      </c>
      <c r="G77" s="25">
        <f>E77*F77</f>
        <v>0.6839999999999999</v>
      </c>
      <c r="I77" s="95"/>
      <c r="J77" s="5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</row>
    <row r="78" spans="1:121" s="1" customFormat="1" ht="15.75">
      <c r="A78" s="174" t="s">
        <v>289</v>
      </c>
      <c r="B78" s="24"/>
      <c r="C78" s="24" t="s">
        <v>228</v>
      </c>
      <c r="D78" s="24" t="s">
        <v>290</v>
      </c>
      <c r="E78" s="3">
        <v>0.32</v>
      </c>
      <c r="F78" s="14">
        <f>+C128</f>
        <v>6.89</v>
      </c>
      <c r="H78" s="25">
        <f>E78*F78</f>
        <v>2.2048</v>
      </c>
      <c r="I78" s="95"/>
      <c r="J78" s="5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</row>
    <row r="79" spans="1:121" s="1" customFormat="1" ht="15.75">
      <c r="A79" s="174" t="s">
        <v>227</v>
      </c>
      <c r="B79" s="24"/>
      <c r="C79" s="24" t="s">
        <v>228</v>
      </c>
      <c r="D79" s="24" t="s">
        <v>229</v>
      </c>
      <c r="E79" s="3">
        <v>0.64</v>
      </c>
      <c r="F79" s="14">
        <f>+C129</f>
        <v>4.38</v>
      </c>
      <c r="H79" s="25">
        <f>E79*F79</f>
        <v>2.8032</v>
      </c>
      <c r="I79" s="95"/>
      <c r="J79" s="5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</row>
    <row r="80" spans="1:10" ht="16.5" thickBot="1">
      <c r="A80" s="90"/>
      <c r="B80" s="72"/>
      <c r="C80" s="28"/>
      <c r="D80" s="28"/>
      <c r="E80" s="8"/>
      <c r="F80" s="73"/>
      <c r="G80" s="252">
        <f>SUM(G73:G77)</f>
        <v>5.896000000000001</v>
      </c>
      <c r="H80" s="252">
        <f>SUM(H78:H79)</f>
        <v>5.008</v>
      </c>
      <c r="I80" s="88"/>
      <c r="J80" s="11"/>
    </row>
    <row r="81" spans="1:10" ht="16.5" thickTop="1">
      <c r="A81" s="176">
        <v>19.1</v>
      </c>
      <c r="B81" s="113"/>
      <c r="C81" s="69"/>
      <c r="D81" s="69"/>
      <c r="E81" s="70"/>
      <c r="F81" s="139"/>
      <c r="G81" s="115"/>
      <c r="H81" s="115"/>
      <c r="I81" s="89"/>
      <c r="J81" s="71"/>
    </row>
    <row r="82" spans="1:121" s="1" customFormat="1" ht="15.75">
      <c r="A82" s="173" t="s">
        <v>196</v>
      </c>
      <c r="B82" s="24"/>
      <c r="C82" s="24"/>
      <c r="D82" s="24"/>
      <c r="E82" s="3"/>
      <c r="F82" s="14"/>
      <c r="G82" s="85"/>
      <c r="H82" s="85"/>
      <c r="I82" s="95"/>
      <c r="J82" s="5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</row>
    <row r="83" spans="1:121" s="1" customFormat="1" ht="15.75">
      <c r="A83" s="173" t="s">
        <v>197</v>
      </c>
      <c r="B83" s="24"/>
      <c r="C83" s="24"/>
      <c r="D83" s="24"/>
      <c r="E83" s="3"/>
      <c r="F83" s="14"/>
      <c r="G83" s="85"/>
      <c r="H83" s="85"/>
      <c r="I83" s="95"/>
      <c r="J83" s="5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</row>
    <row r="84" spans="1:121" s="1" customFormat="1" ht="15.75">
      <c r="A84" s="172" t="s">
        <v>191</v>
      </c>
      <c r="B84" s="24"/>
      <c r="C84" s="24" t="s">
        <v>287</v>
      </c>
      <c r="D84" s="24" t="s">
        <v>741</v>
      </c>
      <c r="E84" s="3">
        <v>0.4</v>
      </c>
      <c r="F84" s="14">
        <f>IF(D84="as-01",0.28,IF(D84="as-02",0.71,IF(D84="as-03",0.42,IF(D84="as-06",0.57,IF(D84="op-02",4.31,IF(D84="op-01",6.89,IF(D84="cb-02",0.07,IF(D84="pi-01",3.09))))))))</f>
        <v>0.71</v>
      </c>
      <c r="G84" s="25">
        <f>E84*F84</f>
        <v>0.284</v>
      </c>
      <c r="I84" s="95">
        <f>SUM(G84:H90)</f>
        <v>13.409</v>
      </c>
      <c r="J84" s="5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</row>
    <row r="85" spans="1:121" s="1" customFormat="1" ht="15.75">
      <c r="A85" s="174" t="s">
        <v>192</v>
      </c>
      <c r="B85" s="24"/>
      <c r="C85" s="24" t="s">
        <v>287</v>
      </c>
      <c r="D85" s="24" t="s">
        <v>756</v>
      </c>
      <c r="E85" s="3">
        <v>12</v>
      </c>
      <c r="F85" s="14">
        <f>IF(D85="as-01",0.28,IF(D85="as-02",0.71,IF(D85="as-03",0.42,IF(D85="as-06",0.57,IF(D85="op-02",4.31,IF(D85="op-01",6.89,IF(D85="cb-02",0.07,IF(D85="pi-01",3.09))))))))</f>
        <v>0.42</v>
      </c>
      <c r="G85" s="25">
        <f>E85*F85</f>
        <v>5.04</v>
      </c>
      <c r="I85" s="95"/>
      <c r="J85" s="5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</row>
    <row r="86" spans="1:121" s="1" customFormat="1" ht="15.75">
      <c r="A86" s="174" t="s">
        <v>757</v>
      </c>
      <c r="B86" s="24"/>
      <c r="C86" s="24" t="s">
        <v>287</v>
      </c>
      <c r="D86" s="24" t="s">
        <v>758</v>
      </c>
      <c r="E86" s="3">
        <v>6.7</v>
      </c>
      <c r="F86" s="14">
        <f>IF(D86="as-01",0.28,IF(D86="as-02",0.71,IF(D86="as-03",0.42,IF(D86="as-06",0.57,IF(D86="op-02",4.31,IF(D86="op-01",6.89,IF(D86="cb-02",0.07,IF(D86="pi-01",3.09))))))))</f>
        <v>0.07</v>
      </c>
      <c r="G86" s="25">
        <f>E86*F86</f>
        <v>0.4690000000000001</v>
      </c>
      <c r="I86" s="95"/>
      <c r="J86" s="5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</row>
    <row r="87" spans="1:121" s="1" customFormat="1" ht="15.75">
      <c r="A87" s="174" t="s">
        <v>193</v>
      </c>
      <c r="B87" s="24"/>
      <c r="C87" s="24" t="s">
        <v>294</v>
      </c>
      <c r="D87" s="24" t="s">
        <v>579</v>
      </c>
      <c r="E87" s="3">
        <v>2.4</v>
      </c>
      <c r="F87" s="14">
        <f>IF(D87="as-01",0.28,IF(D87="as-02",0.71,IF(D87="as-03",0.42,IF(D87="as-06",0.57,IF(D87="op-02",4.31,IF(D87="op-01",6.89,IF(D87="cb-02",0.07,IF(D87="pi-01",3.09))))))))</f>
        <v>0.28</v>
      </c>
      <c r="G87" s="25">
        <f>E87*F87</f>
        <v>0.672</v>
      </c>
      <c r="I87" s="95"/>
      <c r="J87" s="5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</row>
    <row r="88" spans="1:121" s="1" customFormat="1" ht="15.75">
      <c r="A88" s="174" t="s">
        <v>194</v>
      </c>
      <c r="B88" s="24"/>
      <c r="C88" s="24" t="s">
        <v>294</v>
      </c>
      <c r="D88" s="24" t="s">
        <v>195</v>
      </c>
      <c r="E88" s="3">
        <v>1.2</v>
      </c>
      <c r="F88" s="14">
        <f>IF(D88="as-01",0.28,IF(D88="as-02",0.71,IF(D88="as-03",0.42,IF(D88="as-06",0.57,IF(D88="op-02",4.31,IF(D88="op-01",6.89,IF(D88="cb-02",0.07,IF(D88="pi-01",3.09))))))))</f>
        <v>0.57</v>
      </c>
      <c r="G88" s="25">
        <f>E88*F88</f>
        <v>0.6839999999999999</v>
      </c>
      <c r="I88" s="95"/>
      <c r="J88" s="5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</row>
    <row r="89" spans="1:121" s="1" customFormat="1" ht="15.75">
      <c r="A89" s="174" t="s">
        <v>289</v>
      </c>
      <c r="B89" s="24"/>
      <c r="C89" s="24" t="s">
        <v>228</v>
      </c>
      <c r="D89" s="24" t="s">
        <v>290</v>
      </c>
      <c r="E89" s="3">
        <v>0.4</v>
      </c>
      <c r="F89" s="14">
        <f>+C128</f>
        <v>6.89</v>
      </c>
      <c r="H89" s="25">
        <f>E89*F89</f>
        <v>2.7560000000000002</v>
      </c>
      <c r="I89" s="95"/>
      <c r="J89" s="5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</row>
    <row r="90" spans="1:121" s="1" customFormat="1" ht="15.75">
      <c r="A90" s="174" t="s">
        <v>227</v>
      </c>
      <c r="B90" s="24"/>
      <c r="C90" s="24" t="s">
        <v>228</v>
      </c>
      <c r="D90" s="24" t="s">
        <v>229</v>
      </c>
      <c r="E90" s="3">
        <v>0.8</v>
      </c>
      <c r="F90" s="14">
        <f>+C129</f>
        <v>4.38</v>
      </c>
      <c r="H90" s="25">
        <f>E90*F90</f>
        <v>3.504</v>
      </c>
      <c r="I90" s="95"/>
      <c r="J90" s="5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</row>
    <row r="91" spans="1:10" ht="16.5" thickBot="1">
      <c r="A91" s="90"/>
      <c r="B91" s="72"/>
      <c r="C91" s="28"/>
      <c r="D91" s="28"/>
      <c r="E91" s="8"/>
      <c r="F91" s="73"/>
      <c r="G91" s="252">
        <f>SUM(G84:G88)</f>
        <v>7.149</v>
      </c>
      <c r="H91" s="252">
        <f>SUM(H89:H90)</f>
        <v>6.26</v>
      </c>
      <c r="I91" s="88"/>
      <c r="J91" s="11"/>
    </row>
    <row r="92" spans="1:121" s="1" customFormat="1" ht="16.5" thickTop="1">
      <c r="A92" s="177">
        <v>19.11</v>
      </c>
      <c r="B92" s="24"/>
      <c r="C92" s="24"/>
      <c r="D92" s="24"/>
      <c r="E92" s="3"/>
      <c r="F92" s="14"/>
      <c r="G92" s="85"/>
      <c r="H92" s="85"/>
      <c r="I92" s="95"/>
      <c r="J92" s="5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</row>
    <row r="93" spans="1:121" s="1" customFormat="1" ht="15.75">
      <c r="A93" s="173" t="s">
        <v>198</v>
      </c>
      <c r="B93" s="24"/>
      <c r="C93" s="24"/>
      <c r="D93" s="24"/>
      <c r="E93" s="3"/>
      <c r="F93" s="14"/>
      <c r="G93" s="85"/>
      <c r="H93" s="85"/>
      <c r="I93" s="95"/>
      <c r="J93" s="5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</row>
    <row r="94" spans="1:121" s="1" customFormat="1" ht="15.75">
      <c r="A94" s="174" t="s">
        <v>199</v>
      </c>
      <c r="B94" s="24"/>
      <c r="C94" s="24"/>
      <c r="D94" s="24"/>
      <c r="E94" s="3"/>
      <c r="F94" s="14"/>
      <c r="G94" s="85"/>
      <c r="H94" s="85"/>
      <c r="I94" s="95"/>
      <c r="J94" s="5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</row>
    <row r="95" spans="1:121" s="1" customFormat="1" ht="15.75">
      <c r="A95" s="174" t="s">
        <v>200</v>
      </c>
      <c r="B95" s="24"/>
      <c r="C95" s="24"/>
      <c r="D95" s="24"/>
      <c r="E95" s="3"/>
      <c r="F95" s="14"/>
      <c r="G95" s="85"/>
      <c r="H95" s="85"/>
      <c r="I95" s="95"/>
      <c r="J95" s="5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</row>
    <row r="96" spans="1:121" s="1" customFormat="1" ht="15.75">
      <c r="A96" s="174" t="s">
        <v>201</v>
      </c>
      <c r="B96" s="24"/>
      <c r="C96" s="24" t="s">
        <v>294</v>
      </c>
      <c r="D96" s="24" t="s">
        <v>202</v>
      </c>
      <c r="E96" s="3">
        <v>1.2</v>
      </c>
      <c r="F96" s="14">
        <v>2.11</v>
      </c>
      <c r="G96" s="25">
        <f>E96*F96</f>
        <v>2.5319999999999996</v>
      </c>
      <c r="I96" s="95">
        <f>SUM(G96:H98)</f>
        <v>5.236799999999999</v>
      </c>
      <c r="J96" s="5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</row>
    <row r="97" spans="1:121" s="1" customFormat="1" ht="15.75">
      <c r="A97" s="174" t="s">
        <v>289</v>
      </c>
      <c r="B97" s="24"/>
      <c r="C97" s="24" t="s">
        <v>228</v>
      </c>
      <c r="D97" s="24" t="s">
        <v>290</v>
      </c>
      <c r="E97" s="3">
        <v>0.24</v>
      </c>
      <c r="F97" s="14">
        <f>+C128</f>
        <v>6.89</v>
      </c>
      <c r="H97" s="25">
        <f>E97*F97</f>
        <v>1.6536</v>
      </c>
      <c r="I97" s="95"/>
      <c r="J97" s="5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</row>
    <row r="98" spans="1:121" s="1" customFormat="1" ht="15.75">
      <c r="A98" s="174" t="s">
        <v>227</v>
      </c>
      <c r="B98" s="24"/>
      <c r="C98" s="24" t="s">
        <v>228</v>
      </c>
      <c r="D98" s="24" t="s">
        <v>229</v>
      </c>
      <c r="E98" s="3">
        <v>0.24</v>
      </c>
      <c r="F98" s="14">
        <f>+C129</f>
        <v>4.38</v>
      </c>
      <c r="H98" s="25">
        <f>E98*F98</f>
        <v>1.0512</v>
      </c>
      <c r="I98" s="95"/>
      <c r="J98" s="5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</row>
    <row r="99" spans="1:10" ht="16.5" thickBot="1">
      <c r="A99" s="90"/>
      <c r="B99" s="72"/>
      <c r="C99" s="28"/>
      <c r="D99" s="28"/>
      <c r="E99" s="8"/>
      <c r="F99" s="73"/>
      <c r="G99" s="252">
        <f>E96*F96</f>
        <v>2.5319999999999996</v>
      </c>
      <c r="H99" s="252">
        <f>SUM(H97:H98)</f>
        <v>2.7047999999999996</v>
      </c>
      <c r="I99" s="88"/>
      <c r="J99" s="11"/>
    </row>
    <row r="100" spans="1:10" ht="16.5" thickTop="1">
      <c r="A100" s="168">
        <v>19.12</v>
      </c>
      <c r="B100" s="113"/>
      <c r="C100" s="69"/>
      <c r="D100" s="69"/>
      <c r="E100" s="70"/>
      <c r="F100" s="139"/>
      <c r="G100" s="115"/>
      <c r="H100" s="115"/>
      <c r="I100" s="89"/>
      <c r="J100" s="71"/>
    </row>
    <row r="101" spans="1:121" s="1" customFormat="1" ht="15.75">
      <c r="A101" s="173" t="s">
        <v>203</v>
      </c>
      <c r="B101" s="24"/>
      <c r="C101" s="24"/>
      <c r="D101" s="24"/>
      <c r="E101" s="3"/>
      <c r="F101" s="14"/>
      <c r="G101" s="85"/>
      <c r="H101" s="85"/>
      <c r="I101" s="95"/>
      <c r="J101" s="5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</row>
    <row r="102" spans="1:121" s="1" customFormat="1" ht="15.75">
      <c r="A102" s="173" t="s">
        <v>204</v>
      </c>
      <c r="B102" s="24"/>
      <c r="C102" s="24"/>
      <c r="D102" s="24"/>
      <c r="E102" s="3"/>
      <c r="F102" s="14"/>
      <c r="G102" s="85"/>
      <c r="H102" s="85"/>
      <c r="I102" s="95"/>
      <c r="J102" s="5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</row>
    <row r="103" spans="1:121" s="1" customFormat="1" ht="15.75">
      <c r="A103" s="174" t="s">
        <v>205</v>
      </c>
      <c r="B103" s="24"/>
      <c r="C103" s="24"/>
      <c r="D103" s="24"/>
      <c r="E103" s="3"/>
      <c r="F103" s="14"/>
      <c r="G103" s="85"/>
      <c r="H103" s="85"/>
      <c r="I103" s="95"/>
      <c r="J103" s="5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</row>
    <row r="104" spans="1:121" s="1" customFormat="1" ht="15.75">
      <c r="A104" s="174" t="s">
        <v>206</v>
      </c>
      <c r="B104" s="24"/>
      <c r="C104" s="24" t="s">
        <v>294</v>
      </c>
      <c r="D104" s="24" t="s">
        <v>207</v>
      </c>
      <c r="E104" s="3">
        <v>1.2</v>
      </c>
      <c r="F104" s="14">
        <f>IF(D104="as-01",0.28,IF(D104="as-02",0.71,IF(D104="as-03",0.42,IF(D104="as-06",0.57,IF(D104="op-02",4.31,IF(D104="op-01",6.89,IF(D104="as-08",4.5,IF(D104="as-07",1.82))))))))</f>
        <v>4.5</v>
      </c>
      <c r="G104" s="25">
        <f>E104*F104</f>
        <v>5.3999999999999995</v>
      </c>
      <c r="I104" s="95">
        <f>SUM(G104:H106)</f>
        <v>8.780999999999999</v>
      </c>
      <c r="J104" s="5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</row>
    <row r="105" spans="1:121" s="1" customFormat="1" ht="15.75">
      <c r="A105" s="174" t="s">
        <v>289</v>
      </c>
      <c r="B105" s="24"/>
      <c r="C105" s="24" t="s">
        <v>228</v>
      </c>
      <c r="D105" s="24" t="s">
        <v>290</v>
      </c>
      <c r="E105" s="3">
        <v>0.3</v>
      </c>
      <c r="F105" s="14">
        <f>+C128</f>
        <v>6.89</v>
      </c>
      <c r="H105" s="25">
        <f>E105*F105</f>
        <v>2.0669999999999997</v>
      </c>
      <c r="I105" s="95"/>
      <c r="J105" s="5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</row>
    <row r="106" spans="1:121" s="1" customFormat="1" ht="15.75">
      <c r="A106" s="174" t="s">
        <v>227</v>
      </c>
      <c r="B106" s="24"/>
      <c r="C106" s="24" t="s">
        <v>228</v>
      </c>
      <c r="D106" s="24" t="s">
        <v>229</v>
      </c>
      <c r="E106" s="3">
        <v>0.3</v>
      </c>
      <c r="F106" s="14">
        <f>+C129</f>
        <v>4.38</v>
      </c>
      <c r="H106" s="25">
        <f>E106*F106</f>
        <v>1.3139999999999998</v>
      </c>
      <c r="I106" s="95"/>
      <c r="J106" s="5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</row>
    <row r="107" spans="1:10" ht="16.5" thickBot="1">
      <c r="A107" s="90"/>
      <c r="B107" s="72"/>
      <c r="C107" s="28"/>
      <c r="D107" s="28"/>
      <c r="E107" s="8"/>
      <c r="F107" s="73"/>
      <c r="G107" s="67">
        <f>E104*F104</f>
        <v>5.3999999999999995</v>
      </c>
      <c r="H107" s="67">
        <f>SUM(H105:H106)</f>
        <v>3.3809999999999993</v>
      </c>
      <c r="I107" s="88"/>
      <c r="J107" s="11"/>
    </row>
    <row r="108" spans="1:10" ht="16.5" thickTop="1">
      <c r="A108" s="168">
        <v>19.13</v>
      </c>
      <c r="B108" s="113"/>
      <c r="C108" s="69"/>
      <c r="D108" s="69"/>
      <c r="E108" s="70"/>
      <c r="F108" s="139"/>
      <c r="G108" s="115"/>
      <c r="H108" s="115"/>
      <c r="I108" s="89"/>
      <c r="J108" s="71"/>
    </row>
    <row r="109" spans="1:121" s="1" customFormat="1" ht="15.75">
      <c r="A109" s="173" t="s">
        <v>208</v>
      </c>
      <c r="B109" s="24"/>
      <c r="C109" s="24"/>
      <c r="D109" s="24"/>
      <c r="E109" s="3"/>
      <c r="F109" s="14"/>
      <c r="G109" s="85"/>
      <c r="H109" s="85"/>
      <c r="I109" s="95"/>
      <c r="J109" s="5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</row>
    <row r="110" spans="1:121" s="1" customFormat="1" ht="15.75">
      <c r="A110" s="173" t="s">
        <v>209</v>
      </c>
      <c r="B110" s="24"/>
      <c r="C110" s="24" t="s">
        <v>287</v>
      </c>
      <c r="D110" s="24" t="s">
        <v>355</v>
      </c>
      <c r="E110" s="3">
        <v>13.09</v>
      </c>
      <c r="F110" s="14">
        <f>IF(D110="ag-01",0.12,IF(D110="ag-04",0.13,IF(D110="ar-03",12.03,IF(D110="ld-01",0.12,IF(D110="op-02",4.31,IF(D110="op-01",6.89))))))</f>
        <v>0.12</v>
      </c>
      <c r="G110" s="25">
        <f>E110*F110</f>
        <v>1.5708</v>
      </c>
      <c r="I110" s="95">
        <f>SUM(G110:H113)</f>
        <v>8.54279</v>
      </c>
      <c r="J110" s="5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</row>
    <row r="111" spans="1:121" s="1" customFormat="1" ht="15.75">
      <c r="A111" s="174" t="s">
        <v>559</v>
      </c>
      <c r="B111" s="24"/>
      <c r="C111" s="24" t="s">
        <v>357</v>
      </c>
      <c r="D111" s="24" t="s">
        <v>560</v>
      </c>
      <c r="E111" s="3">
        <v>0.033</v>
      </c>
      <c r="F111" s="14">
        <f>IF(D111="ag-01",0.12,IF(D111="ag-04",0.13,IF(D111="ar-03",12.03,IF(D111="ld-01",0.12,IF(D111="op-02",4.31,IF(D111="op-01",6.89))))))</f>
        <v>12.03</v>
      </c>
      <c r="G111" s="25">
        <f>E111*F111</f>
        <v>0.39699</v>
      </c>
      <c r="I111" s="95"/>
      <c r="J111" s="5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</row>
    <row r="112" spans="1:121" s="1" customFormat="1" ht="15.75">
      <c r="A112" s="174" t="s">
        <v>289</v>
      </c>
      <c r="B112" s="24"/>
      <c r="C112" s="24" t="s">
        <v>228</v>
      </c>
      <c r="D112" s="24" t="s">
        <v>290</v>
      </c>
      <c r="E112" s="3">
        <v>0.7</v>
      </c>
      <c r="F112" s="14">
        <f>+C128</f>
        <v>6.89</v>
      </c>
      <c r="H112" s="25">
        <f>E112*F112</f>
        <v>4.8229999999999995</v>
      </c>
      <c r="I112" s="95"/>
      <c r="J112" s="5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</row>
    <row r="113" spans="1:121" s="1" customFormat="1" ht="15.75">
      <c r="A113" s="174" t="s">
        <v>227</v>
      </c>
      <c r="B113" s="24"/>
      <c r="C113" s="24" t="s">
        <v>228</v>
      </c>
      <c r="D113" s="24" t="s">
        <v>229</v>
      </c>
      <c r="E113" s="3">
        <v>0.4</v>
      </c>
      <c r="F113" s="14">
        <f>+C129</f>
        <v>4.38</v>
      </c>
      <c r="H113" s="25">
        <f>E113*F113</f>
        <v>1.752</v>
      </c>
      <c r="I113" s="95"/>
      <c r="J113" s="5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</row>
    <row r="114" spans="1:10" ht="16.5" thickBot="1">
      <c r="A114" s="90"/>
      <c r="B114" s="72"/>
      <c r="C114" s="28"/>
      <c r="D114" s="28"/>
      <c r="E114" s="8"/>
      <c r="F114" s="73"/>
      <c r="G114" s="252">
        <f>SUM(G110:G111)</f>
        <v>1.96779</v>
      </c>
      <c r="H114" s="252">
        <f>SUM(H112:H113)</f>
        <v>6.574999999999999</v>
      </c>
      <c r="I114" s="88"/>
      <c r="J114" s="11"/>
    </row>
    <row r="115" spans="1:10" ht="16.5" thickTop="1">
      <c r="A115" s="168">
        <v>19.14</v>
      </c>
      <c r="B115" s="113"/>
      <c r="C115" s="69"/>
      <c r="D115" s="69"/>
      <c r="E115" s="70"/>
      <c r="F115" s="139"/>
      <c r="G115" s="115"/>
      <c r="H115" s="115"/>
      <c r="I115" s="89"/>
      <c r="J115" s="71"/>
    </row>
    <row r="116" spans="1:121" s="1" customFormat="1" ht="15.75">
      <c r="A116" s="173" t="s">
        <v>210</v>
      </c>
      <c r="B116" s="24"/>
      <c r="C116" s="24"/>
      <c r="D116" s="24"/>
      <c r="E116" s="3"/>
      <c r="F116" s="14"/>
      <c r="G116" s="85"/>
      <c r="H116" s="85"/>
      <c r="I116" s="95"/>
      <c r="J116" s="5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</row>
    <row r="117" spans="1:121" s="1" customFormat="1" ht="15.75">
      <c r="A117" s="173" t="s">
        <v>211</v>
      </c>
      <c r="B117" s="24"/>
      <c r="C117" s="24"/>
      <c r="D117" s="24"/>
      <c r="E117" s="3"/>
      <c r="F117" s="14"/>
      <c r="G117" s="85"/>
      <c r="H117" s="85"/>
      <c r="I117" s="95"/>
      <c r="J117" s="5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</row>
    <row r="118" spans="1:121" s="1" customFormat="1" ht="15.75">
      <c r="A118" s="173" t="s">
        <v>212</v>
      </c>
      <c r="B118" s="24"/>
      <c r="C118" s="24"/>
      <c r="D118" s="24"/>
      <c r="E118" s="3"/>
      <c r="F118" s="14"/>
      <c r="G118" s="85"/>
      <c r="H118" s="85"/>
      <c r="I118" s="95"/>
      <c r="J118" s="5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</row>
    <row r="119" spans="1:121" s="1" customFormat="1" ht="15.75">
      <c r="A119" s="174" t="s">
        <v>578</v>
      </c>
      <c r="B119" s="24"/>
      <c r="C119" s="24" t="s">
        <v>294</v>
      </c>
      <c r="D119" s="24" t="s">
        <v>579</v>
      </c>
      <c r="E119" s="3">
        <v>1.3</v>
      </c>
      <c r="F119" s="14">
        <f>IF(D119="as-01",0.28,IF(D119="as-02",0.71,IF(D119="as-03",0.42,IF(D119="as-06",0.57,IF(D119="op-02",4.31,IF(D119="op-01",6.89,IF(D119="cb-02",0.07,IF(D119="pi-01",3.09))))))))</f>
        <v>0.28</v>
      </c>
      <c r="G119" s="25">
        <f>E119*F119</f>
        <v>0.36400000000000005</v>
      </c>
      <c r="I119" s="95">
        <f>SUM(G119:H123)</f>
        <v>3.2219999999999995</v>
      </c>
      <c r="J119" s="5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</row>
    <row r="120" spans="1:121" s="1" customFormat="1" ht="15.75">
      <c r="A120" s="174" t="s">
        <v>192</v>
      </c>
      <c r="B120" s="24"/>
      <c r="C120" s="24" t="s">
        <v>287</v>
      </c>
      <c r="D120" s="24" t="s">
        <v>756</v>
      </c>
      <c r="E120" s="3">
        <v>2</v>
      </c>
      <c r="F120" s="14">
        <f>IF(D120="as-01",0.28,IF(D120="as-02",0.71,IF(D120="as-03",0.42,IF(D120="as-06",0.57,IF(D120="op-02",4.31,IF(D120="op-01",6.89,IF(D120="cb-02",0.07,IF(D120="pi-01",3.09))))))))</f>
        <v>0.42</v>
      </c>
      <c r="G120" s="25">
        <f>E120*F120</f>
        <v>0.84</v>
      </c>
      <c r="I120" s="95"/>
      <c r="J120" s="5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</row>
    <row r="121" spans="1:121" s="1" customFormat="1" ht="15.75">
      <c r="A121" s="174" t="s">
        <v>757</v>
      </c>
      <c r="B121" s="24"/>
      <c r="C121" s="24" t="s">
        <v>287</v>
      </c>
      <c r="D121" s="24" t="s">
        <v>758</v>
      </c>
      <c r="E121" s="3">
        <v>2</v>
      </c>
      <c r="F121" s="14">
        <f>IF(D121="as-01",0.28,IF(D121="as-02",0.71,IF(D121="as-03",0.42,IF(D121="as-06",0.57,IF(D121="op-02",4.31,IF(D121="op-01",6.89,IF(D121="cb-02",0.07,IF(D121="pi-01",3.09))))))))</f>
        <v>0.07</v>
      </c>
      <c r="G121" s="25">
        <f>E121*F121</f>
        <v>0.14</v>
      </c>
      <c r="I121" s="95"/>
      <c r="J121" s="5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</row>
    <row r="122" spans="1:121" s="1" customFormat="1" ht="15.75">
      <c r="A122" s="174" t="s">
        <v>289</v>
      </c>
      <c r="B122" s="24"/>
      <c r="C122" s="24" t="s">
        <v>228</v>
      </c>
      <c r="D122" s="24" t="s">
        <v>290</v>
      </c>
      <c r="E122" s="3">
        <v>0.12</v>
      </c>
      <c r="F122" s="14">
        <f>+C128</f>
        <v>6.89</v>
      </c>
      <c r="H122" s="25">
        <f>E122*F122</f>
        <v>0.8268</v>
      </c>
      <c r="I122" s="95"/>
      <c r="J122" s="5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</row>
    <row r="123" spans="1:121" s="1" customFormat="1" ht="15.75">
      <c r="A123" s="174" t="s">
        <v>227</v>
      </c>
      <c r="B123" s="24"/>
      <c r="C123" s="24" t="s">
        <v>228</v>
      </c>
      <c r="D123" s="24" t="s">
        <v>229</v>
      </c>
      <c r="E123" s="3">
        <v>0.24</v>
      </c>
      <c r="F123" s="14">
        <f>+C129</f>
        <v>4.38</v>
      </c>
      <c r="H123" s="25">
        <f>E123*F123</f>
        <v>1.0512</v>
      </c>
      <c r="I123" s="95"/>
      <c r="J123" s="5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</row>
    <row r="124" spans="1:10" ht="16.5" thickBot="1">
      <c r="A124" s="93"/>
      <c r="B124" s="80"/>
      <c r="C124" s="16"/>
      <c r="D124" s="16"/>
      <c r="E124" s="16"/>
      <c r="F124" s="79"/>
      <c r="G124" s="253">
        <f>SUM(G119:G121)</f>
        <v>1.3439999999999999</v>
      </c>
      <c r="H124" s="253">
        <f>SUM(H122:H123)</f>
        <v>1.878</v>
      </c>
      <c r="I124" s="92"/>
      <c r="J124" s="20"/>
    </row>
    <row r="125" ht="13.5" thickTop="1"/>
    <row r="128" spans="2:3" ht="15.75">
      <c r="B128" s="301" t="s">
        <v>290</v>
      </c>
      <c r="C128" s="40">
        <v>6.89</v>
      </c>
    </row>
    <row r="129" spans="2:3" ht="15.75">
      <c r="B129" s="301" t="s">
        <v>229</v>
      </c>
      <c r="C129" s="40">
        <v>4.38</v>
      </c>
    </row>
  </sheetData>
  <printOptions/>
  <pageMargins left="0.037401575" right="0.037401575" top="0.2" bottom="1" header="7.45" footer="0.4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8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H14" sqref="H14"/>
    </sheetView>
  </sheetViews>
  <sheetFormatPr defaultColWidth="11.421875" defaultRowHeight="12.75"/>
  <cols>
    <col min="1" max="1" width="55.8515625" style="0" customWidth="1"/>
    <col min="2" max="2" width="5.7109375" style="0" customWidth="1"/>
    <col min="3" max="4" width="8.140625" style="0" customWidth="1"/>
    <col min="6" max="6" width="12.140625" style="0" customWidth="1"/>
    <col min="7" max="7" width="10.28125" style="0" customWidth="1"/>
    <col min="8" max="8" width="9.7109375" style="0" customWidth="1"/>
    <col min="9" max="9" width="10.421875" style="0" customWidth="1"/>
    <col min="10" max="10" width="59.00390625" style="0" customWidth="1"/>
    <col min="11" max="40" width="11.421875" style="21" customWidth="1"/>
  </cols>
  <sheetData>
    <row r="1" spans="1:10" ht="17.25" thickBot="1" thickTop="1">
      <c r="A1" s="275" t="s">
        <v>302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40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s="111" customFormat="1" ht="16.5" thickTop="1">
      <c r="A3" s="172" t="s">
        <v>303</v>
      </c>
      <c r="B3" s="109"/>
      <c r="C3" s="109"/>
      <c r="D3" s="110"/>
      <c r="E3" s="110"/>
      <c r="F3" s="110"/>
      <c r="G3" s="109"/>
      <c r="H3" s="110"/>
      <c r="I3" s="109"/>
      <c r="J3" s="228" t="s">
        <v>304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</row>
    <row r="4" spans="1:40" s="111" customFormat="1" ht="15.75">
      <c r="A4" s="172" t="s">
        <v>305</v>
      </c>
      <c r="B4" s="109"/>
      <c r="C4" s="109"/>
      <c r="D4" s="110"/>
      <c r="E4" s="110"/>
      <c r="F4" s="110"/>
      <c r="G4" s="109"/>
      <c r="H4" s="110"/>
      <c r="I4" s="109"/>
      <c r="J4" s="228" t="s">
        <v>306</v>
      </c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</row>
    <row r="5" spans="1:40" s="111" customFormat="1" ht="15.75">
      <c r="A5" s="173" t="s">
        <v>307</v>
      </c>
      <c r="B5" s="109"/>
      <c r="C5" s="109"/>
      <c r="D5" s="110"/>
      <c r="E5" s="110"/>
      <c r="F5" s="110"/>
      <c r="G5" s="109"/>
      <c r="H5" s="110"/>
      <c r="I5" s="109"/>
      <c r="J5" s="228" t="s">
        <v>308</v>
      </c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</row>
    <row r="6" spans="1:40" s="111" customFormat="1" ht="15.75">
      <c r="A6" s="173" t="s">
        <v>309</v>
      </c>
      <c r="B6" s="109"/>
      <c r="C6" s="109"/>
      <c r="D6" s="110"/>
      <c r="E6" s="110"/>
      <c r="F6" s="110"/>
      <c r="G6" s="109"/>
      <c r="H6" s="110"/>
      <c r="I6" s="109"/>
      <c r="J6" s="228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</row>
    <row r="7" spans="1:40" s="111" customFormat="1" ht="15.75">
      <c r="A7" s="173" t="s">
        <v>310</v>
      </c>
      <c r="B7" s="109"/>
      <c r="C7" s="109"/>
      <c r="D7" s="110"/>
      <c r="E7" s="110"/>
      <c r="F7" s="110"/>
      <c r="G7" s="109"/>
      <c r="H7" s="110"/>
      <c r="I7" s="109"/>
      <c r="J7" s="228" t="s">
        <v>311</v>
      </c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</row>
    <row r="8" spans="1:40" s="111" customFormat="1" ht="15.75">
      <c r="A8" s="173" t="s">
        <v>312</v>
      </c>
      <c r="B8" s="109"/>
      <c r="C8" s="109"/>
      <c r="D8" s="110"/>
      <c r="E8" s="110"/>
      <c r="F8" s="110"/>
      <c r="G8" s="109"/>
      <c r="H8" s="110"/>
      <c r="I8" s="109"/>
      <c r="J8" s="228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</row>
    <row r="9" spans="1:40" s="112" customFormat="1" ht="15.75">
      <c r="A9" s="230" t="s">
        <v>313</v>
      </c>
      <c r="B9" s="109"/>
      <c r="C9" s="109"/>
      <c r="D9" s="110"/>
      <c r="E9" s="110"/>
      <c r="F9" s="110"/>
      <c r="G9" s="109"/>
      <c r="H9" s="110"/>
      <c r="I9" s="109"/>
      <c r="J9" s="228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</row>
    <row r="10" spans="1:40" s="1" customFormat="1" ht="15.75">
      <c r="A10" s="231" t="s">
        <v>314</v>
      </c>
      <c r="B10" s="24"/>
      <c r="C10" s="2"/>
      <c r="D10" s="2" t="s">
        <v>315</v>
      </c>
      <c r="E10" s="3">
        <v>2.4E-06</v>
      </c>
      <c r="F10" s="265">
        <f>IF(D10="op-03",8.61,IF(D10="op-02",4.31,IF(D10="op-04",5.17,IF(D10="op-05",6.89,IF(D10="cb-01",0.41,IF(D10="eq-02",120000,IF(D10="eq-03",32000,IF(D10="eq-04",286600,""))))))))</f>
        <v>120000</v>
      </c>
      <c r="G10" s="271">
        <f>E10*F10</f>
        <v>0.288</v>
      </c>
      <c r="H10" s="26"/>
      <c r="I10" s="269">
        <f>SUM(G10:G13,H14:H15)</f>
        <v>1.4774399999999999</v>
      </c>
      <c r="J10" s="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10" ht="15.75">
      <c r="A11" s="231" t="s">
        <v>316</v>
      </c>
      <c r="B11" s="24"/>
      <c r="C11" s="24" t="s">
        <v>317</v>
      </c>
      <c r="D11" s="24" t="s">
        <v>318</v>
      </c>
      <c r="E11" s="3">
        <v>0.48</v>
      </c>
      <c r="F11" s="265">
        <v>0.6</v>
      </c>
      <c r="G11" s="271">
        <f>E11*F11</f>
        <v>0.288</v>
      </c>
      <c r="H11" s="26"/>
      <c r="I11" s="95"/>
      <c r="J11" s="5"/>
    </row>
    <row r="12" spans="1:10" ht="15.75">
      <c r="A12" s="231" t="s">
        <v>319</v>
      </c>
      <c r="B12" s="24"/>
      <c r="C12" s="2"/>
      <c r="D12" s="2" t="s">
        <v>320</v>
      </c>
      <c r="E12" s="3">
        <v>3E-06</v>
      </c>
      <c r="F12" s="265">
        <f>IF(D12="op-03",8.61,IF(D12="op-02",4.31,IF(D12="op-04",5.17,IF(D12="op-05",6.89,IF(D12="cb-01",0.41,IF(D12="eq-02",120000,IF(D12="eq-03",32000,IF(D12="eq-04",286600,""))))))))</f>
        <v>32000</v>
      </c>
      <c r="G12" s="271">
        <f>E12*F12</f>
        <v>0.096</v>
      </c>
      <c r="H12" s="26"/>
      <c r="I12" s="95"/>
      <c r="J12" s="5"/>
    </row>
    <row r="13" spans="1:10" ht="15.75">
      <c r="A13" s="231" t="s">
        <v>321</v>
      </c>
      <c r="B13" s="24"/>
      <c r="C13" s="24" t="s">
        <v>317</v>
      </c>
      <c r="D13" s="24" t="s">
        <v>318</v>
      </c>
      <c r="E13" s="3">
        <v>0.78</v>
      </c>
      <c r="F13" s="265">
        <v>0.6</v>
      </c>
      <c r="G13" s="271">
        <f>E13*F13</f>
        <v>0.46799999999999997</v>
      </c>
      <c r="H13" s="27"/>
      <c r="I13" s="95"/>
      <c r="J13" s="5"/>
    </row>
    <row r="14" spans="1:10" ht="15.75">
      <c r="A14" s="231" t="s">
        <v>322</v>
      </c>
      <c r="B14" s="24"/>
      <c r="C14" s="2" t="s">
        <v>228</v>
      </c>
      <c r="D14" s="2" t="s">
        <v>323</v>
      </c>
      <c r="E14" s="3">
        <v>0.036</v>
      </c>
      <c r="F14" s="13">
        <v>6.94</v>
      </c>
      <c r="H14" s="271">
        <f>E14*F14</f>
        <v>0.24984</v>
      </c>
      <c r="I14" s="95"/>
      <c r="J14" s="5"/>
    </row>
    <row r="15" spans="1:10" ht="15.75">
      <c r="A15" s="231" t="s">
        <v>227</v>
      </c>
      <c r="B15" s="24"/>
      <c r="C15" s="24" t="s">
        <v>228</v>
      </c>
      <c r="D15" s="24" t="s">
        <v>229</v>
      </c>
      <c r="E15" s="3">
        <v>0.02</v>
      </c>
      <c r="F15" s="13">
        <f>+C85</f>
        <v>4.38</v>
      </c>
      <c r="G15" s="26"/>
      <c r="H15" s="271">
        <f>E15*F15</f>
        <v>0.0876</v>
      </c>
      <c r="I15" s="95"/>
      <c r="J15" s="5"/>
    </row>
    <row r="16" spans="1:40" s="108" customFormat="1" ht="16.5" thickBot="1">
      <c r="A16" s="232"/>
      <c r="B16" s="28"/>
      <c r="C16" s="28"/>
      <c r="D16" s="28"/>
      <c r="E16" s="8"/>
      <c r="F16" s="9"/>
      <c r="G16" s="252">
        <f>SUM(G10:G13)</f>
        <v>1.14</v>
      </c>
      <c r="H16" s="252">
        <f>SUM(H14:H15)</f>
        <v>0.33744</v>
      </c>
      <c r="I16" s="167"/>
      <c r="J16" s="15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s="1" customFormat="1" ht="16.5" thickTop="1">
      <c r="A17" s="173" t="s">
        <v>324</v>
      </c>
      <c r="B17" s="24"/>
      <c r="C17" s="24"/>
      <c r="D17" s="24"/>
      <c r="E17" s="3"/>
      <c r="F17" s="13"/>
      <c r="G17" s="85"/>
      <c r="H17" s="85"/>
      <c r="I17" s="95"/>
      <c r="J17" s="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s="1" customFormat="1" ht="15.75">
      <c r="A18" s="173" t="s">
        <v>325</v>
      </c>
      <c r="B18" s="24"/>
      <c r="C18" s="24"/>
      <c r="D18" s="24"/>
      <c r="E18" s="3"/>
      <c r="F18" s="13"/>
      <c r="G18" s="85"/>
      <c r="H18" s="85"/>
      <c r="I18" s="95"/>
      <c r="J18" s="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s="1" customFormat="1" ht="15.75">
      <c r="A19" s="173" t="s">
        <v>326</v>
      </c>
      <c r="B19" s="24"/>
      <c r="C19" s="24"/>
      <c r="D19" s="24"/>
      <c r="E19" s="3"/>
      <c r="F19" s="13"/>
      <c r="G19" s="85"/>
      <c r="H19" s="85"/>
      <c r="I19" s="95"/>
      <c r="J19" s="5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s="1" customFormat="1" ht="15.75">
      <c r="A20" s="173" t="s">
        <v>327</v>
      </c>
      <c r="B20" s="24"/>
      <c r="C20" s="24"/>
      <c r="D20" s="24"/>
      <c r="E20" s="3"/>
      <c r="F20" s="13"/>
      <c r="G20" s="85"/>
      <c r="H20" s="85"/>
      <c r="I20" s="95"/>
      <c r="J20" s="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1" customFormat="1" ht="15.75">
      <c r="A21" s="173" t="s">
        <v>328</v>
      </c>
      <c r="B21" s="24"/>
      <c r="C21" s="24"/>
      <c r="D21" s="24"/>
      <c r="E21" s="3"/>
      <c r="F21" s="13"/>
      <c r="G21" s="85"/>
      <c r="H21" s="85"/>
      <c r="I21" s="95"/>
      <c r="J21" s="5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s="1" customFormat="1" ht="15.75">
      <c r="A22" s="173" t="s">
        <v>329</v>
      </c>
      <c r="B22" s="24"/>
      <c r="C22" s="24"/>
      <c r="D22" s="24"/>
      <c r="E22" s="3"/>
      <c r="F22" s="13"/>
      <c r="G22" s="85"/>
      <c r="H22" s="85"/>
      <c r="I22" s="95"/>
      <c r="J22" s="5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s="1" customFormat="1" ht="15.75">
      <c r="A23" s="173" t="s">
        <v>330</v>
      </c>
      <c r="B23" s="24"/>
      <c r="C23" s="24"/>
      <c r="D23" s="24"/>
      <c r="E23" s="3"/>
      <c r="F23" s="13"/>
      <c r="G23" s="85"/>
      <c r="H23" s="85"/>
      <c r="I23" s="95"/>
      <c r="J23" s="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s="1" customFormat="1" ht="15.75">
      <c r="A24" s="174" t="s">
        <v>314</v>
      </c>
      <c r="B24" s="24"/>
      <c r="C24" s="2"/>
      <c r="D24" s="2" t="s">
        <v>315</v>
      </c>
      <c r="E24" s="3">
        <v>6E-06</v>
      </c>
      <c r="F24" s="265">
        <f>IF(D24="op-03",8.61,IF(D24="op-02",4.31,IF(D24="op-04",5.17,IF(D24="op-05",6.89,IF(D24="cb-01",0.41,IF(D24="eq-02",120000,IF(D24="eq-03",32000,IF(D24="eq-04",286600,""))))))))</f>
        <v>120000</v>
      </c>
      <c r="G24" s="25">
        <f>E24*F24</f>
        <v>0.72</v>
      </c>
      <c r="H24" s="26"/>
      <c r="I24" s="269">
        <f>SUM(G24:G25,H26:H27)</f>
        <v>2.136</v>
      </c>
      <c r="J24" s="5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s="1" customFormat="1" ht="15.75">
      <c r="A25" s="174" t="s">
        <v>331</v>
      </c>
      <c r="B25" s="24"/>
      <c r="C25" s="24" t="s">
        <v>317</v>
      </c>
      <c r="D25" s="24" t="s">
        <v>318</v>
      </c>
      <c r="E25" s="266">
        <v>1.2</v>
      </c>
      <c r="F25" s="265">
        <v>0.6</v>
      </c>
      <c r="G25" s="271">
        <f>E25*F25</f>
        <v>0.72</v>
      </c>
      <c r="H25" s="26"/>
      <c r="I25" s="95"/>
      <c r="J25" s="5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s="1" customFormat="1" ht="15.75">
      <c r="A26" s="174" t="s">
        <v>332</v>
      </c>
      <c r="B26" s="24"/>
      <c r="C26" s="2" t="s">
        <v>228</v>
      </c>
      <c r="D26" s="2" t="s">
        <v>333</v>
      </c>
      <c r="E26" s="3">
        <v>0.04</v>
      </c>
      <c r="F26" s="13">
        <v>8.64</v>
      </c>
      <c r="H26" s="271">
        <f>E26*F26</f>
        <v>0.3456</v>
      </c>
      <c r="I26" s="95"/>
      <c r="J26" s="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s="1" customFormat="1" ht="15.75">
      <c r="A27" s="174" t="s">
        <v>227</v>
      </c>
      <c r="B27" s="24"/>
      <c r="C27" s="2" t="s">
        <v>228</v>
      </c>
      <c r="D27" s="2" t="s">
        <v>229</v>
      </c>
      <c r="E27" s="3">
        <v>0.08</v>
      </c>
      <c r="F27" s="13">
        <f>+C85</f>
        <v>4.38</v>
      </c>
      <c r="G27" s="26"/>
      <c r="H27" s="271">
        <f>E27*F27</f>
        <v>0.3504</v>
      </c>
      <c r="I27" s="95"/>
      <c r="J27" s="5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s="6" customFormat="1" ht="16.5" thickBot="1">
      <c r="A28" s="204"/>
      <c r="B28" s="28"/>
      <c r="C28" s="7"/>
      <c r="D28" s="7"/>
      <c r="E28" s="8"/>
      <c r="F28" s="9"/>
      <c r="G28" s="252">
        <f>SUM(G24:G25)</f>
        <v>1.44</v>
      </c>
      <c r="H28" s="252">
        <f>SUM(H26:H27)</f>
        <v>0.696</v>
      </c>
      <c r="I28" s="96"/>
      <c r="J28" s="1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s="45" customFormat="1" ht="16.5" thickTop="1">
      <c r="A29" s="171">
        <v>2.3</v>
      </c>
      <c r="B29" s="49"/>
      <c r="C29" s="12"/>
      <c r="D29" s="12"/>
      <c r="E29" s="50"/>
      <c r="F29" s="33"/>
      <c r="G29" s="83"/>
      <c r="H29" s="83"/>
      <c r="I29" s="97"/>
      <c r="J29" s="5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s="45" customFormat="1" ht="15.75">
      <c r="A30" s="173" t="s">
        <v>334</v>
      </c>
      <c r="B30" s="49"/>
      <c r="C30" s="12"/>
      <c r="D30" s="12"/>
      <c r="E30" s="50"/>
      <c r="F30" s="33"/>
      <c r="G30" s="83"/>
      <c r="H30" s="83"/>
      <c r="I30" s="97"/>
      <c r="J30" s="5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s="45" customFormat="1" ht="15.75">
      <c r="A31" s="173" t="s">
        <v>335</v>
      </c>
      <c r="B31" s="49"/>
      <c r="C31" s="12"/>
      <c r="D31" s="12"/>
      <c r="E31" s="50"/>
      <c r="F31" s="33"/>
      <c r="G31" s="83"/>
      <c r="H31" s="83"/>
      <c r="I31" s="97"/>
      <c r="J31" s="5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s="45" customFormat="1" ht="15.75">
      <c r="A32" s="173" t="s">
        <v>336</v>
      </c>
      <c r="B32" s="49"/>
      <c r="C32" s="12"/>
      <c r="D32" s="12"/>
      <c r="E32" s="50"/>
      <c r="F32" s="33"/>
      <c r="G32" s="83"/>
      <c r="H32" s="83"/>
      <c r="I32" s="97"/>
      <c r="J32" s="5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45" customFormat="1" ht="15.75">
      <c r="A33" s="173" t="s">
        <v>257</v>
      </c>
      <c r="B33" s="49"/>
      <c r="C33" s="12"/>
      <c r="D33" s="12"/>
      <c r="E33" s="50"/>
      <c r="F33" s="33"/>
      <c r="G33" s="83"/>
      <c r="H33" s="83"/>
      <c r="I33" s="97"/>
      <c r="J33" s="5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s="45" customFormat="1" ht="15.75">
      <c r="A34" s="173" t="s">
        <v>337</v>
      </c>
      <c r="B34" s="49"/>
      <c r="C34" s="12"/>
      <c r="D34" s="12"/>
      <c r="E34" s="50"/>
      <c r="F34" s="33"/>
      <c r="G34" s="83"/>
      <c r="H34" s="83"/>
      <c r="I34" s="97"/>
      <c r="J34" s="5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s="45" customFormat="1" ht="15.75">
      <c r="A35" s="173" t="s">
        <v>338</v>
      </c>
      <c r="B35" s="49"/>
      <c r="C35" s="12"/>
      <c r="D35" s="12"/>
      <c r="E35" s="50"/>
      <c r="F35" s="33"/>
      <c r="G35" s="83"/>
      <c r="H35" s="83"/>
      <c r="I35" s="97"/>
      <c r="J35" s="5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s="1" customFormat="1" ht="15.75">
      <c r="A36" s="174" t="s">
        <v>339</v>
      </c>
      <c r="B36" s="24"/>
      <c r="C36" s="24"/>
      <c r="D36" s="24" t="s">
        <v>320</v>
      </c>
      <c r="E36" s="3">
        <v>4E-06</v>
      </c>
      <c r="F36" s="265">
        <f>IF(D36="op-03",8.61,IF(D36="op-02",4.31,IF(D36="op-04",5.17,IF(D36="op-05",6.89,IF(D36="cb-01",0.41,IF(D36="eq-02",120000,IF(D36="eq-03",32000,IF(D36="eq-04",286600,""))))))))</f>
        <v>32000</v>
      </c>
      <c r="G36" s="271">
        <f>E36*F36</f>
        <v>0.128</v>
      </c>
      <c r="H36" s="26"/>
      <c r="I36" s="269">
        <f>SUM(G36:G37,H38)</f>
        <v>4.7</v>
      </c>
      <c r="J36" s="5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s="1" customFormat="1" ht="15.75">
      <c r="A37" s="174" t="s">
        <v>340</v>
      </c>
      <c r="B37" s="24"/>
      <c r="C37" s="2" t="s">
        <v>317</v>
      </c>
      <c r="D37" s="2" t="s">
        <v>318</v>
      </c>
      <c r="E37" s="3">
        <v>6.22</v>
      </c>
      <c r="F37" s="265">
        <v>0.6</v>
      </c>
      <c r="G37" s="271">
        <f>E37*F37</f>
        <v>3.7319999999999998</v>
      </c>
      <c r="H37" s="26"/>
      <c r="I37" s="95"/>
      <c r="J37" s="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s="1" customFormat="1" ht="15.75">
      <c r="A38" s="174" t="s">
        <v>341</v>
      </c>
      <c r="B38" s="24"/>
      <c r="C38" s="24" t="s">
        <v>228</v>
      </c>
      <c r="D38" s="24" t="s">
        <v>342</v>
      </c>
      <c r="E38" s="3">
        <v>0.16</v>
      </c>
      <c r="F38" s="13">
        <v>5.25</v>
      </c>
      <c r="H38" s="271">
        <f>E38*F38</f>
        <v>0.84</v>
      </c>
      <c r="I38" s="95"/>
      <c r="J38" s="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10" ht="16.5" thickBot="1">
      <c r="A39" s="204"/>
      <c r="B39" s="72"/>
      <c r="C39" s="28"/>
      <c r="D39" s="28"/>
      <c r="E39" s="8"/>
      <c r="F39" s="60"/>
      <c r="G39" s="252">
        <f>SUM(G36:G37)</f>
        <v>3.86</v>
      </c>
      <c r="H39" s="252">
        <f>E38*F38</f>
        <v>0.84</v>
      </c>
      <c r="I39" s="88"/>
      <c r="J39" s="11"/>
    </row>
    <row r="40" spans="1:40" s="47" customFormat="1" ht="16.5" thickTop="1">
      <c r="A40" s="177">
        <v>2.4</v>
      </c>
      <c r="B40" s="82"/>
      <c r="C40" s="29"/>
      <c r="D40" s="29"/>
      <c r="E40" s="30"/>
      <c r="F40" s="116"/>
      <c r="G40" s="117"/>
      <c r="H40" s="117"/>
      <c r="I40" s="98"/>
      <c r="J40" s="3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s="47" customFormat="1" ht="15.75">
      <c r="A41" s="173" t="s">
        <v>343</v>
      </c>
      <c r="B41" s="82"/>
      <c r="C41" s="29"/>
      <c r="D41" s="29"/>
      <c r="E41" s="30"/>
      <c r="F41" s="116"/>
      <c r="G41" s="117"/>
      <c r="H41" s="117"/>
      <c r="I41" s="98"/>
      <c r="J41" s="3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s="47" customFormat="1" ht="15.75">
      <c r="A42" s="173" t="s">
        <v>344</v>
      </c>
      <c r="B42" s="82"/>
      <c r="C42" s="29"/>
      <c r="D42" s="29"/>
      <c r="E42" s="30"/>
      <c r="F42" s="116"/>
      <c r="G42" s="117"/>
      <c r="H42" s="117"/>
      <c r="I42" s="98"/>
      <c r="J42" s="32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s="47" customFormat="1" ht="15.75">
      <c r="A43" s="173" t="s">
        <v>345</v>
      </c>
      <c r="B43" s="82"/>
      <c r="C43" s="29"/>
      <c r="D43" s="29"/>
      <c r="E43" s="30"/>
      <c r="F43" s="116"/>
      <c r="G43" s="117"/>
      <c r="H43" s="117"/>
      <c r="I43" s="98"/>
      <c r="J43" s="3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" customFormat="1" ht="15.75">
      <c r="A44" s="173" t="s">
        <v>346</v>
      </c>
      <c r="B44" s="24"/>
      <c r="C44" s="24"/>
      <c r="D44" s="24"/>
      <c r="E44" s="3"/>
      <c r="F44" s="13"/>
      <c r="G44" s="85"/>
      <c r="H44" s="85"/>
      <c r="I44" s="95"/>
      <c r="J44" s="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s="1" customFormat="1" ht="15.75">
      <c r="A45" s="173" t="s">
        <v>347</v>
      </c>
      <c r="B45" s="24"/>
      <c r="C45" s="24"/>
      <c r="D45" s="24"/>
      <c r="E45" s="3"/>
      <c r="F45" s="13"/>
      <c r="G45" s="85"/>
      <c r="H45" s="85"/>
      <c r="I45" s="95"/>
      <c r="J45" s="5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s="1" customFormat="1" ht="15.75">
      <c r="A46" s="173" t="s">
        <v>348</v>
      </c>
      <c r="B46" s="24"/>
      <c r="C46" s="24"/>
      <c r="D46" s="24"/>
      <c r="E46" s="3"/>
      <c r="F46" s="13"/>
      <c r="G46" s="85"/>
      <c r="H46" s="85"/>
      <c r="I46" s="95"/>
      <c r="J46" s="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s="121" customFormat="1" ht="15.75">
      <c r="A47" s="123" t="s">
        <v>349</v>
      </c>
      <c r="B47" s="87"/>
      <c r="C47" s="87"/>
      <c r="D47" s="87"/>
      <c r="E47" s="118"/>
      <c r="F47" s="116"/>
      <c r="G47" s="119"/>
      <c r="H47" s="119"/>
      <c r="I47" s="120"/>
      <c r="J47" s="229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s="121" customFormat="1" ht="15.75">
      <c r="A48" s="123" t="s">
        <v>350</v>
      </c>
      <c r="B48" s="87"/>
      <c r="C48" s="87"/>
      <c r="D48" s="87"/>
      <c r="E48" s="118"/>
      <c r="F48" s="116"/>
      <c r="G48" s="119"/>
      <c r="H48" s="119"/>
      <c r="I48" s="120"/>
      <c r="J48" s="22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s="121" customFormat="1" ht="15.75">
      <c r="A49" s="123" t="s">
        <v>351</v>
      </c>
      <c r="B49" s="87"/>
      <c r="E49" s="118"/>
      <c r="F49" s="116"/>
      <c r="G49" s="119"/>
      <c r="H49" s="119"/>
      <c r="I49" s="120"/>
      <c r="J49" s="22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s="121" customFormat="1" ht="15.75">
      <c r="A50" s="123" t="s">
        <v>352</v>
      </c>
      <c r="B50" s="87"/>
      <c r="C50" s="87"/>
      <c r="D50" s="87"/>
      <c r="E50" s="118"/>
      <c r="F50" s="116"/>
      <c r="G50" s="119"/>
      <c r="H50" s="119"/>
      <c r="I50" s="120"/>
      <c r="J50" s="229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s="121" customFormat="1" ht="15.75">
      <c r="A51" s="123" t="s">
        <v>353</v>
      </c>
      <c r="B51" s="87"/>
      <c r="C51" s="87"/>
      <c r="D51" s="87"/>
      <c r="E51" s="118"/>
      <c r="F51" s="116"/>
      <c r="G51" s="119"/>
      <c r="H51" s="119"/>
      <c r="I51" s="95"/>
      <c r="J51" s="229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10" ht="15.75">
      <c r="A52" s="181" t="s">
        <v>354</v>
      </c>
      <c r="B52" s="29"/>
      <c r="C52" s="15" t="s">
        <v>287</v>
      </c>
      <c r="D52" s="15" t="s">
        <v>355</v>
      </c>
      <c r="E52" s="273">
        <v>112</v>
      </c>
      <c r="F52" s="57">
        <f>IF(D52="op-03",8.61,IF(D52="op-02",4.31,IF(D52="eq-05",590000,IF(D52="ag-01",0.12,IF(D52="cb-01",0.41,IF(D52="tr-02",12,IF(D52="tr-01",4,IF(D52="eq-04",286600))))))))</f>
        <v>0.12</v>
      </c>
      <c r="G52" s="37">
        <f>E52*F52</f>
        <v>13.44</v>
      </c>
      <c r="H52" s="31"/>
      <c r="I52" s="269">
        <f>SUM(G52:G55,H56:H57)</f>
        <v>22.72376</v>
      </c>
      <c r="J52" s="32"/>
    </row>
    <row r="53" spans="1:10" ht="15.75">
      <c r="A53" s="231" t="s">
        <v>356</v>
      </c>
      <c r="B53" s="24"/>
      <c r="C53" s="24" t="s">
        <v>357</v>
      </c>
      <c r="D53" s="24" t="s">
        <v>358</v>
      </c>
      <c r="E53" s="3">
        <v>1.25</v>
      </c>
      <c r="F53" s="265">
        <f>IF(D53="op-03",8.61,IF(D53="op-02",4.31,IF(D53="eq-05",590000,IF(D53="op-05",6.89,IF(D53="cb-01",0.41,IF(D53="tr-02",12,IF(D53="tr-01",4,IF(D53="eq-04",286600))))))))</f>
        <v>4</v>
      </c>
      <c r="G53" s="271">
        <f>E53*F53</f>
        <v>5</v>
      </c>
      <c r="H53" s="26"/>
      <c r="I53" s="95"/>
      <c r="J53" s="5"/>
    </row>
    <row r="54" spans="1:10" ht="15.75">
      <c r="A54" s="181" t="s">
        <v>359</v>
      </c>
      <c r="B54" s="24"/>
      <c r="D54" s="24" t="s">
        <v>361</v>
      </c>
      <c r="E54" s="3">
        <v>4.8E-06</v>
      </c>
      <c r="F54" s="265">
        <f>IF(D54="op-03",8.61,IF(D54="op-02",4.31,IF(D54="eq-05",590000,IF(D54="op-05",6.89,IF(D54="cb-01",0.41,IF(D54="tr-02",12,IF(D54="tr-01",4,IF(D54="eq-04",286600))))))))</f>
        <v>286600</v>
      </c>
      <c r="G54" s="271">
        <f>E54*F54</f>
        <v>1.37568</v>
      </c>
      <c r="H54" s="26"/>
      <c r="I54" s="95"/>
      <c r="J54" s="5"/>
    </row>
    <row r="55" spans="1:10" ht="15.75">
      <c r="A55" s="181" t="s">
        <v>360</v>
      </c>
      <c r="B55" s="24"/>
      <c r="C55" s="2" t="s">
        <v>317</v>
      </c>
      <c r="D55" s="2" t="s">
        <v>318</v>
      </c>
      <c r="E55" s="3">
        <v>2.53</v>
      </c>
      <c r="F55" s="265">
        <v>0.6</v>
      </c>
      <c r="G55" s="271">
        <f>E55*F55</f>
        <v>1.5179999999999998</v>
      </c>
      <c r="H55" s="27"/>
      <c r="I55" s="95"/>
      <c r="J55" s="5"/>
    </row>
    <row r="56" spans="1:10" ht="15.75">
      <c r="A56" s="174" t="s">
        <v>332</v>
      </c>
      <c r="B56" s="24"/>
      <c r="C56" s="2" t="s">
        <v>228</v>
      </c>
      <c r="D56" s="2" t="s">
        <v>333</v>
      </c>
      <c r="E56" s="3">
        <v>0.096</v>
      </c>
      <c r="F56" s="13">
        <v>8.64</v>
      </c>
      <c r="H56" s="271">
        <f>E56*F56</f>
        <v>0.8294400000000001</v>
      </c>
      <c r="I56" s="95"/>
      <c r="J56" s="5"/>
    </row>
    <row r="57" spans="1:10" ht="15.75">
      <c r="A57" s="174" t="s">
        <v>227</v>
      </c>
      <c r="B57" s="49"/>
      <c r="C57" s="12" t="s">
        <v>228</v>
      </c>
      <c r="D57" s="12" t="s">
        <v>229</v>
      </c>
      <c r="E57" s="50">
        <v>0.128</v>
      </c>
      <c r="F57" s="33">
        <f>+C85</f>
        <v>4.38</v>
      </c>
      <c r="G57" s="27"/>
      <c r="H57" s="274">
        <f>E57*F57</f>
        <v>0.56064</v>
      </c>
      <c r="I57" s="95"/>
      <c r="J57" s="51"/>
    </row>
    <row r="58" spans="1:10" ht="16.5" thickBot="1">
      <c r="A58" s="90"/>
      <c r="B58" s="72"/>
      <c r="C58" s="7"/>
      <c r="D58" s="7"/>
      <c r="E58" s="8"/>
      <c r="F58" s="60"/>
      <c r="G58" s="252">
        <f>SUM(G52:G55)</f>
        <v>21.333679999999998</v>
      </c>
      <c r="H58" s="252">
        <f>SUM(H56:H57)</f>
        <v>1.3900800000000002</v>
      </c>
      <c r="I58" s="88"/>
      <c r="J58" s="11"/>
    </row>
    <row r="59" spans="1:10" ht="16.5" thickTop="1">
      <c r="A59" s="122">
        <v>2.5</v>
      </c>
      <c r="B59" s="113"/>
      <c r="C59" s="56"/>
      <c r="D59" s="56"/>
      <c r="E59" s="70"/>
      <c r="F59" s="114"/>
      <c r="G59" s="115"/>
      <c r="H59" s="115"/>
      <c r="I59" s="89"/>
      <c r="J59" s="71"/>
    </row>
    <row r="60" spans="1:10" ht="15.75">
      <c r="A60" s="123" t="s">
        <v>362</v>
      </c>
      <c r="B60" s="24"/>
      <c r="C60" s="2"/>
      <c r="D60" s="2"/>
      <c r="E60" s="3"/>
      <c r="F60" s="13"/>
      <c r="G60" s="85"/>
      <c r="H60" s="85"/>
      <c r="I60" s="95"/>
      <c r="J60" s="5"/>
    </row>
    <row r="61" spans="1:10" ht="15.75">
      <c r="A61" s="123" t="s">
        <v>363</v>
      </c>
      <c r="B61" s="24"/>
      <c r="C61" s="2"/>
      <c r="D61" s="2"/>
      <c r="E61" s="3"/>
      <c r="F61" s="13"/>
      <c r="G61" s="85"/>
      <c r="H61" s="85"/>
      <c r="I61" s="95"/>
      <c r="J61" s="5"/>
    </row>
    <row r="62" spans="1:10" ht="15.75">
      <c r="A62" s="123" t="s">
        <v>364</v>
      </c>
      <c r="B62" s="24"/>
      <c r="C62" s="2"/>
      <c r="D62" s="2"/>
      <c r="E62" s="3"/>
      <c r="F62" s="13"/>
      <c r="G62" s="85"/>
      <c r="H62" s="85"/>
      <c r="I62" s="95"/>
      <c r="J62" s="5"/>
    </row>
    <row r="63" spans="1:10" ht="15.75">
      <c r="A63" s="123" t="s">
        <v>365</v>
      </c>
      <c r="B63" s="24"/>
      <c r="C63" s="2"/>
      <c r="D63" s="2"/>
      <c r="E63" s="3"/>
      <c r="F63" s="13"/>
      <c r="G63" s="85"/>
      <c r="H63" s="85"/>
      <c r="I63" s="95"/>
      <c r="J63" s="5"/>
    </row>
    <row r="64" spans="1:10" ht="15.75">
      <c r="A64" s="123" t="s">
        <v>366</v>
      </c>
      <c r="B64" s="24"/>
      <c r="C64" s="2"/>
      <c r="D64" s="2"/>
      <c r="E64" s="3"/>
      <c r="F64" s="13"/>
      <c r="G64" s="85"/>
      <c r="H64" s="85"/>
      <c r="I64" s="95"/>
      <c r="J64" s="5"/>
    </row>
    <row r="65" spans="1:10" ht="15.75">
      <c r="A65" s="123" t="s">
        <v>367</v>
      </c>
      <c r="B65" s="24"/>
      <c r="C65" s="2"/>
      <c r="D65" s="2"/>
      <c r="E65" s="3"/>
      <c r="F65" s="13"/>
      <c r="G65" s="85"/>
      <c r="H65" s="85"/>
      <c r="I65" s="95"/>
      <c r="J65" s="5"/>
    </row>
    <row r="66" spans="1:10" ht="15.75">
      <c r="A66" s="173" t="s">
        <v>368</v>
      </c>
      <c r="B66" s="24"/>
      <c r="C66" s="2"/>
      <c r="D66" s="2"/>
      <c r="E66" s="3"/>
      <c r="F66" s="13"/>
      <c r="G66" s="85"/>
      <c r="H66" s="85"/>
      <c r="I66" s="95"/>
      <c r="J66" s="5"/>
    </row>
    <row r="67" spans="1:10" ht="15.75">
      <c r="A67" s="173" t="s">
        <v>369</v>
      </c>
      <c r="B67" s="24"/>
      <c r="C67" s="2"/>
      <c r="D67" s="2"/>
      <c r="E67" s="3"/>
      <c r="F67" s="13"/>
      <c r="G67" s="85"/>
      <c r="H67" s="85"/>
      <c r="I67" s="95"/>
      <c r="J67" s="5"/>
    </row>
    <row r="68" spans="1:10" ht="15.75">
      <c r="A68" s="233" t="s">
        <v>370</v>
      </c>
      <c r="B68" s="24"/>
      <c r="C68" s="2"/>
      <c r="D68" s="2"/>
      <c r="E68" s="3"/>
      <c r="F68" s="13"/>
      <c r="G68" s="85"/>
      <c r="H68" s="85"/>
      <c r="I68" s="95"/>
      <c r="J68" s="5"/>
    </row>
    <row r="69" spans="1:10" ht="15.75">
      <c r="A69" s="173" t="s">
        <v>371</v>
      </c>
      <c r="B69" s="24"/>
      <c r="C69" s="2"/>
      <c r="D69" s="2"/>
      <c r="E69" s="3"/>
      <c r="F69" s="13"/>
      <c r="G69" s="85"/>
      <c r="H69" s="85"/>
      <c r="I69" s="95"/>
      <c r="J69" s="5"/>
    </row>
    <row r="70" spans="1:10" ht="15.75">
      <c r="A70" s="173" t="s">
        <v>372</v>
      </c>
      <c r="B70" s="24"/>
      <c r="C70" s="2"/>
      <c r="D70" s="2"/>
      <c r="E70" s="3"/>
      <c r="F70" s="13"/>
      <c r="G70" s="85"/>
      <c r="H70" s="85"/>
      <c r="I70" s="95"/>
      <c r="J70" s="5"/>
    </row>
    <row r="71" spans="1:10" ht="15.75">
      <c r="A71" s="173" t="s">
        <v>373</v>
      </c>
      <c r="B71" s="24"/>
      <c r="C71" s="2"/>
      <c r="D71" s="2"/>
      <c r="E71" s="3"/>
      <c r="F71" s="13"/>
      <c r="G71" s="85"/>
      <c r="H71" s="85"/>
      <c r="I71" s="95"/>
      <c r="J71" s="5"/>
    </row>
    <row r="72" spans="1:10" ht="15.75">
      <c r="A72" s="173" t="s">
        <v>374</v>
      </c>
      <c r="B72" s="24"/>
      <c r="C72" s="2"/>
      <c r="D72" s="2"/>
      <c r="E72" s="3"/>
      <c r="F72" s="13"/>
      <c r="G72" s="85"/>
      <c r="H72" s="85"/>
      <c r="I72" s="95"/>
      <c r="J72" s="5"/>
    </row>
    <row r="73" spans="1:10" ht="15.75">
      <c r="A73" s="173" t="s">
        <v>375</v>
      </c>
      <c r="B73" s="24"/>
      <c r="C73" s="2"/>
      <c r="D73" s="2"/>
      <c r="E73" s="3"/>
      <c r="F73" s="13"/>
      <c r="G73" s="85"/>
      <c r="H73" s="85"/>
      <c r="I73" s="95"/>
      <c r="J73" s="5"/>
    </row>
    <row r="74" spans="1:10" ht="15.75">
      <c r="A74" s="174" t="s">
        <v>376</v>
      </c>
      <c r="B74" s="24"/>
      <c r="C74" s="2" t="s">
        <v>287</v>
      </c>
      <c r="D74" s="2" t="s">
        <v>377</v>
      </c>
      <c r="E74" s="266">
        <v>12.5</v>
      </c>
      <c r="F74" s="13">
        <f>IF(D74="op-03",8.61,IF(D74="op-02",4.31,IF(D74="eq-05",590000,IF(D74="op-05",6.89,IF(D74="cb-01",0.41,IF(D74="tr-02",12,IF(D74="ag-02",0.09,IF(D74="eq-04",286600))))))))</f>
        <v>0.09</v>
      </c>
      <c r="G74" s="271">
        <f>E74*F74</f>
        <v>1.125</v>
      </c>
      <c r="H74" s="26"/>
      <c r="I74" s="269">
        <f>SUM(G74:G77,H78:H79)</f>
        <v>15.6966</v>
      </c>
      <c r="J74" s="5"/>
    </row>
    <row r="75" spans="1:10" ht="15.75">
      <c r="A75" s="101" t="s">
        <v>378</v>
      </c>
      <c r="B75" s="24"/>
      <c r="C75" s="24" t="s">
        <v>357</v>
      </c>
      <c r="D75" s="24" t="s">
        <v>379</v>
      </c>
      <c r="E75" s="3">
        <v>1.05</v>
      </c>
      <c r="F75" s="265">
        <v>8</v>
      </c>
      <c r="G75" s="271">
        <f>E75*F75</f>
        <v>8.4</v>
      </c>
      <c r="H75" s="26"/>
      <c r="I75" s="95"/>
      <c r="J75" s="5"/>
    </row>
    <row r="76" spans="1:10" ht="15.75">
      <c r="A76" s="101" t="s">
        <v>380</v>
      </c>
      <c r="B76" s="24"/>
      <c r="D76" s="24" t="s">
        <v>381</v>
      </c>
      <c r="E76" s="3">
        <v>4E-06</v>
      </c>
      <c r="F76" s="265">
        <f>IF(D76="op-03",8.61,IF(D76="op-02",4.31,IF(D76="eq-05",590000,IF(D76="op-05",6.89,IF(D76="cb-01",0.41,IF(D76="tr-02",12,IF(D76="ag-02",0.09,IF(D76="eq-04",286600))))))))</f>
        <v>590000</v>
      </c>
      <c r="G76" s="271">
        <f>E76*F76</f>
        <v>2.36</v>
      </c>
      <c r="H76" s="26"/>
      <c r="I76" s="95"/>
      <c r="J76" s="5"/>
    </row>
    <row r="77" spans="1:10" ht="15.75">
      <c r="A77" s="101" t="s">
        <v>360</v>
      </c>
      <c r="B77" s="24"/>
      <c r="C77" s="24" t="s">
        <v>317</v>
      </c>
      <c r="D77" s="24" t="s">
        <v>318</v>
      </c>
      <c r="E77" s="3">
        <v>3.48</v>
      </c>
      <c r="F77" s="265">
        <v>0.6</v>
      </c>
      <c r="G77" s="271">
        <f>E77*F77</f>
        <v>2.088</v>
      </c>
      <c r="H77" s="26"/>
      <c r="I77" s="95"/>
      <c r="J77" s="5"/>
    </row>
    <row r="78" spans="1:10" ht="15.75">
      <c r="A78" s="101" t="s">
        <v>322</v>
      </c>
      <c r="B78" s="24"/>
      <c r="C78" s="24" t="s">
        <v>228</v>
      </c>
      <c r="D78" s="24" t="s">
        <v>323</v>
      </c>
      <c r="E78" s="3">
        <v>0.16</v>
      </c>
      <c r="F78" s="13">
        <v>6.94</v>
      </c>
      <c r="G78" s="1"/>
      <c r="H78" s="271">
        <f>E78*F78</f>
        <v>1.1104</v>
      </c>
      <c r="I78" s="95"/>
      <c r="J78" s="5"/>
    </row>
    <row r="79" spans="1:10" ht="15.75">
      <c r="A79" s="101" t="s">
        <v>227</v>
      </c>
      <c r="B79" s="24"/>
      <c r="C79" s="24" t="s">
        <v>228</v>
      </c>
      <c r="D79" s="24" t="s">
        <v>229</v>
      </c>
      <c r="E79" s="3">
        <v>0.14</v>
      </c>
      <c r="F79" s="13">
        <f>+C85</f>
        <v>4.38</v>
      </c>
      <c r="G79" s="26"/>
      <c r="H79" s="271">
        <f>E79*F79</f>
        <v>0.6132000000000001</v>
      </c>
      <c r="I79" s="95"/>
      <c r="J79" s="5"/>
    </row>
    <row r="80" spans="1:10" ht="16.5" thickBot="1">
      <c r="A80" s="93"/>
      <c r="B80" s="62"/>
      <c r="C80" s="17"/>
      <c r="D80" s="17"/>
      <c r="E80" s="18"/>
      <c r="F80" s="62"/>
      <c r="G80" s="253">
        <f>SUM(G74:G77)</f>
        <v>13.972999999999999</v>
      </c>
      <c r="H80" s="253">
        <f>SUM(H78:H79)</f>
        <v>1.7236000000000002</v>
      </c>
      <c r="I80" s="92"/>
      <c r="J80" s="20"/>
    </row>
    <row r="81" spans="1:5" ht="16.5" thickTop="1">
      <c r="A81" s="35"/>
      <c r="C81" s="35"/>
      <c r="D81" s="35"/>
      <c r="E81" s="36"/>
    </row>
    <row r="82" spans="1:5" ht="15.75">
      <c r="A82" s="35"/>
      <c r="C82" s="35"/>
      <c r="D82" s="35"/>
      <c r="E82" s="36"/>
    </row>
    <row r="83" spans="1:5" ht="15.75">
      <c r="A83" s="35"/>
      <c r="C83" s="35"/>
      <c r="D83" s="35"/>
      <c r="E83" s="36"/>
    </row>
    <row r="84" spans="1:5" ht="15.75">
      <c r="A84" s="35"/>
      <c r="B84" s="301" t="s">
        <v>290</v>
      </c>
      <c r="C84" s="40">
        <v>6.89</v>
      </c>
      <c r="D84" s="35"/>
      <c r="E84" s="36"/>
    </row>
    <row r="85" spans="1:5" ht="15.75">
      <c r="A85" s="35"/>
      <c r="B85" s="301" t="s">
        <v>229</v>
      </c>
      <c r="C85" s="40">
        <v>4.38</v>
      </c>
      <c r="D85" s="35"/>
      <c r="E85" s="36"/>
    </row>
    <row r="86" spans="1:5" ht="15.75">
      <c r="A86" s="35"/>
      <c r="C86" s="35"/>
      <c r="D86" s="35"/>
      <c r="E86" s="36"/>
    </row>
    <row r="87" spans="1:5" ht="15.75">
      <c r="A87" s="35"/>
      <c r="C87" s="35"/>
      <c r="D87" s="35"/>
      <c r="E87" s="36"/>
    </row>
    <row r="88" spans="1:5" ht="15.75">
      <c r="A88" s="35"/>
      <c r="C88" s="35"/>
      <c r="D88" s="35"/>
      <c r="E88" s="36"/>
    </row>
  </sheetData>
  <printOptions horizontalCentered="1" verticalCentered="1"/>
  <pageMargins left="0.037401575" right="0.037401" top="1" bottom="1" header="0" footer="0"/>
  <pageSetup horizontalDpi="200" verticalDpi="2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413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55" sqref="C155"/>
    </sheetView>
  </sheetViews>
  <sheetFormatPr defaultColWidth="11.421875" defaultRowHeight="12.75"/>
  <cols>
    <col min="1" max="1" width="52.00390625" style="0" customWidth="1"/>
    <col min="2" max="2" width="5.28125" style="1" customWidth="1"/>
    <col min="3" max="4" width="8.140625" style="1" customWidth="1"/>
    <col min="5" max="5" width="10.28125" style="1" customWidth="1"/>
    <col min="6" max="6" width="9.57421875" style="1" customWidth="1"/>
    <col min="7" max="7" width="10.421875" style="1" customWidth="1"/>
    <col min="8" max="8" width="10.140625" style="1" customWidth="1"/>
    <col min="9" max="9" width="11.140625" style="1" customWidth="1"/>
    <col min="10" max="10" width="78.140625" style="0" customWidth="1"/>
    <col min="11" max="118" width="11.421875" style="21" customWidth="1"/>
  </cols>
  <sheetData>
    <row r="1" spans="1:118" s="130" customFormat="1" ht="12.75" customHeight="1" thickBot="1" thickTop="1">
      <c r="A1" s="290" t="s">
        <v>382</v>
      </c>
      <c r="B1" s="291"/>
      <c r="C1" s="291"/>
      <c r="D1" s="291"/>
      <c r="E1" s="291"/>
      <c r="F1" s="291"/>
      <c r="G1" s="291"/>
      <c r="H1" s="291"/>
      <c r="I1" s="291"/>
      <c r="J1" s="292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</row>
    <row r="2" spans="1:118" s="108" customFormat="1" ht="48.75" thickBot="1" thickTop="1">
      <c r="A2" s="278" t="s">
        <v>214</v>
      </c>
      <c r="B2" s="293" t="s">
        <v>215</v>
      </c>
      <c r="C2" s="293" t="s">
        <v>216</v>
      </c>
      <c r="D2" s="294" t="s">
        <v>217</v>
      </c>
      <c r="E2" s="294" t="s">
        <v>218</v>
      </c>
      <c r="F2" s="294" t="s">
        <v>219</v>
      </c>
      <c r="G2" s="293" t="s">
        <v>220</v>
      </c>
      <c r="H2" s="294" t="s">
        <v>221</v>
      </c>
      <c r="I2" s="293" t="s">
        <v>222</v>
      </c>
      <c r="J2" s="281" t="s">
        <v>223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</row>
    <row r="3" spans="1:118" s="1" customFormat="1" ht="16.5" thickTop="1">
      <c r="A3" s="171">
        <v>3.1</v>
      </c>
      <c r="B3" s="125"/>
      <c r="C3" s="125"/>
      <c r="D3" s="126"/>
      <c r="E3" s="126"/>
      <c r="F3" s="126"/>
      <c r="G3" s="125"/>
      <c r="H3" s="126"/>
      <c r="I3" s="125"/>
      <c r="J3" s="15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</row>
    <row r="4" spans="1:118" s="1" customFormat="1" ht="15.75">
      <c r="A4" s="173" t="s">
        <v>383</v>
      </c>
      <c r="B4" s="125"/>
      <c r="C4" s="125"/>
      <c r="D4" s="126"/>
      <c r="E4" s="126"/>
      <c r="F4" s="126"/>
      <c r="G4" s="125"/>
      <c r="H4" s="126"/>
      <c r="I4" s="125"/>
      <c r="J4" s="15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</row>
    <row r="5" spans="1:118" s="1" customFormat="1" ht="15.75">
      <c r="A5" s="173" t="s">
        <v>384</v>
      </c>
      <c r="B5" s="125"/>
      <c r="C5" s="125"/>
      <c r="D5" s="126"/>
      <c r="E5" s="126"/>
      <c r="F5" s="126"/>
      <c r="G5" s="125"/>
      <c r="H5" s="126"/>
      <c r="I5" s="125"/>
      <c r="J5" s="15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</row>
    <row r="6" spans="1:118" s="1" customFormat="1" ht="15.75">
      <c r="A6" s="173" t="s">
        <v>385</v>
      </c>
      <c r="B6" s="125"/>
      <c r="C6" s="125"/>
      <c r="D6" s="126"/>
      <c r="E6" s="126"/>
      <c r="F6" s="126"/>
      <c r="G6" s="125"/>
      <c r="H6" s="126"/>
      <c r="I6" s="125"/>
      <c r="J6" s="15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</row>
    <row r="7" spans="1:118" s="1" customFormat="1" ht="15.75">
      <c r="A7" s="174" t="s">
        <v>386</v>
      </c>
      <c r="B7" s="24" t="s">
        <v>387</v>
      </c>
      <c r="C7" s="2" t="s">
        <v>228</v>
      </c>
      <c r="D7" s="2" t="s">
        <v>229</v>
      </c>
      <c r="E7" s="3">
        <v>0.18</v>
      </c>
      <c r="F7" s="14">
        <f>+C154</f>
        <v>4.38</v>
      </c>
      <c r="G7" s="25"/>
      <c r="H7" s="25">
        <f>E7*F7</f>
        <v>0.7884</v>
      </c>
      <c r="I7" s="95">
        <f>E7*F7</f>
        <v>0.7884</v>
      </c>
      <c r="J7" s="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</row>
    <row r="8" spans="1:118" s="1" customFormat="1" ht="15.75">
      <c r="A8" s="174"/>
      <c r="B8" s="24"/>
      <c r="C8" s="2"/>
      <c r="D8" s="2"/>
      <c r="E8" s="3"/>
      <c r="F8" s="14"/>
      <c r="G8" s="85">
        <v>0</v>
      </c>
      <c r="H8" s="254">
        <f>E7*F7</f>
        <v>0.7884</v>
      </c>
      <c r="I8" s="95"/>
      <c r="J8" s="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</row>
    <row r="9" spans="1:118" s="1" customFormat="1" ht="15.75">
      <c r="A9" s="174" t="s">
        <v>388</v>
      </c>
      <c r="B9" s="24" t="s">
        <v>389</v>
      </c>
      <c r="C9" s="24" t="s">
        <v>228</v>
      </c>
      <c r="D9" s="24" t="s">
        <v>229</v>
      </c>
      <c r="E9" s="3">
        <v>0.12</v>
      </c>
      <c r="F9" s="14">
        <f>+C154</f>
        <v>4.38</v>
      </c>
      <c r="H9" s="25">
        <f>E9*F9</f>
        <v>0.5256</v>
      </c>
      <c r="I9" s="95">
        <f>E9*F9</f>
        <v>0.5256</v>
      </c>
      <c r="J9" s="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</row>
    <row r="10" spans="1:118" s="6" customFormat="1" ht="16.5" thickBot="1">
      <c r="A10" s="204"/>
      <c r="B10" s="28"/>
      <c r="C10" s="28"/>
      <c r="D10" s="28"/>
      <c r="E10" s="8"/>
      <c r="F10" s="10"/>
      <c r="G10" s="67">
        <v>0</v>
      </c>
      <c r="H10" s="252">
        <f>E9*F9</f>
        <v>0.5256</v>
      </c>
      <c r="I10" s="96"/>
      <c r="J10" s="1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</row>
    <row r="11" spans="1:10" s="21" customFormat="1" ht="16.5" thickTop="1">
      <c r="A11" s="171">
        <v>3.2</v>
      </c>
      <c r="B11" s="24"/>
      <c r="C11" s="24"/>
      <c r="D11" s="24"/>
      <c r="E11" s="3"/>
      <c r="F11" s="14"/>
      <c r="G11" s="85"/>
      <c r="H11" s="85"/>
      <c r="I11" s="95"/>
      <c r="J11" s="71"/>
    </row>
    <row r="12" spans="1:10" s="21" customFormat="1" ht="15.75">
      <c r="A12" s="173" t="s">
        <v>390</v>
      </c>
      <c r="B12" s="24"/>
      <c r="C12" s="24"/>
      <c r="D12" s="24"/>
      <c r="E12" s="3"/>
      <c r="F12" s="14"/>
      <c r="G12" s="85"/>
      <c r="H12" s="85"/>
      <c r="I12" s="95"/>
      <c r="J12" s="5"/>
    </row>
    <row r="13" spans="1:10" s="21" customFormat="1" ht="15.75">
      <c r="A13" s="173" t="s">
        <v>391</v>
      </c>
      <c r="B13" s="24"/>
      <c r="C13" s="24"/>
      <c r="D13" s="24"/>
      <c r="E13" s="3"/>
      <c r="F13" s="14"/>
      <c r="G13" s="85"/>
      <c r="H13" s="85"/>
      <c r="I13" s="95"/>
      <c r="J13" s="5"/>
    </row>
    <row r="14" spans="1:10" ht="15.75">
      <c r="A14" s="174" t="s">
        <v>386</v>
      </c>
      <c r="B14" s="24" t="s">
        <v>387</v>
      </c>
      <c r="C14" s="24" t="s">
        <v>228</v>
      </c>
      <c r="D14" s="24" t="s">
        <v>229</v>
      </c>
      <c r="E14" s="3">
        <v>0.38</v>
      </c>
      <c r="F14" s="14">
        <f>+C154</f>
        <v>4.38</v>
      </c>
      <c r="H14" s="25">
        <f>E14*F14</f>
        <v>1.6643999999999999</v>
      </c>
      <c r="I14" s="95">
        <f>E14*F14</f>
        <v>1.6643999999999999</v>
      </c>
      <c r="J14" s="5"/>
    </row>
    <row r="15" spans="1:10" ht="15.75">
      <c r="A15" s="174"/>
      <c r="B15" s="24"/>
      <c r="C15" s="24"/>
      <c r="D15" s="24"/>
      <c r="E15" s="3"/>
      <c r="F15" s="14"/>
      <c r="G15" s="85">
        <v>0</v>
      </c>
      <c r="H15" s="254">
        <f>E14*F14</f>
        <v>1.6643999999999999</v>
      </c>
      <c r="I15" s="95"/>
      <c r="J15" s="5"/>
    </row>
    <row r="16" spans="1:10" ht="15.75">
      <c r="A16" s="174" t="s">
        <v>388</v>
      </c>
      <c r="B16" s="24" t="s">
        <v>389</v>
      </c>
      <c r="C16" s="24" t="s">
        <v>228</v>
      </c>
      <c r="D16" s="24" t="s">
        <v>229</v>
      </c>
      <c r="E16" s="3">
        <v>0.25</v>
      </c>
      <c r="F16" s="14">
        <f>+C154</f>
        <v>4.38</v>
      </c>
      <c r="H16" s="272">
        <f>E16*F16</f>
        <v>1.095</v>
      </c>
      <c r="I16" s="95">
        <f>E16*F16</f>
        <v>1.095</v>
      </c>
      <c r="J16" s="51"/>
    </row>
    <row r="17" spans="1:118" s="108" customFormat="1" ht="16.5" thickBot="1">
      <c r="A17" s="90"/>
      <c r="B17" s="28"/>
      <c r="C17" s="28"/>
      <c r="D17" s="28"/>
      <c r="E17" s="8"/>
      <c r="F17" s="10"/>
      <c r="G17" s="67">
        <v>0</v>
      </c>
      <c r="H17" s="252">
        <f>E16*F16</f>
        <v>1.095</v>
      </c>
      <c r="I17" s="96"/>
      <c r="J17" s="1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0" ht="16.5" thickTop="1">
      <c r="A18" s="122">
        <v>3.3</v>
      </c>
      <c r="B18" s="24"/>
      <c r="C18" s="24"/>
      <c r="D18" s="24"/>
      <c r="E18" s="3"/>
      <c r="F18" s="14"/>
      <c r="G18" s="85"/>
      <c r="H18" s="85"/>
      <c r="I18" s="95"/>
      <c r="J18" s="71"/>
    </row>
    <row r="19" spans="1:10" ht="15.75">
      <c r="A19" s="123" t="s">
        <v>392</v>
      </c>
      <c r="B19" s="24"/>
      <c r="C19" s="24"/>
      <c r="D19" s="24"/>
      <c r="E19" s="3"/>
      <c r="F19" s="14"/>
      <c r="G19" s="85"/>
      <c r="H19" s="85"/>
      <c r="I19" s="95"/>
      <c r="J19" s="5"/>
    </row>
    <row r="20" spans="1:10" ht="15.75">
      <c r="A20" s="123" t="s">
        <v>391</v>
      </c>
      <c r="B20" s="24"/>
      <c r="C20" s="24"/>
      <c r="D20" s="24"/>
      <c r="E20" s="3"/>
      <c r="F20" s="14"/>
      <c r="G20" s="85"/>
      <c r="H20" s="85"/>
      <c r="I20" s="95"/>
      <c r="J20" s="5"/>
    </row>
    <row r="21" spans="1:10" ht="15.75">
      <c r="A21" s="174" t="s">
        <v>386</v>
      </c>
      <c r="B21" s="24" t="s">
        <v>387</v>
      </c>
      <c r="C21" s="24" t="s">
        <v>228</v>
      </c>
      <c r="D21" s="24" t="s">
        <v>229</v>
      </c>
      <c r="E21" s="3">
        <v>0.48</v>
      </c>
      <c r="F21" s="14">
        <f>+C154</f>
        <v>4.38</v>
      </c>
      <c r="H21" s="25">
        <f>E21*F21</f>
        <v>2.1024</v>
      </c>
      <c r="I21" s="95">
        <f>E21*F21</f>
        <v>2.1024</v>
      </c>
      <c r="J21" s="5"/>
    </row>
    <row r="22" spans="1:10" ht="15.75">
      <c r="A22" s="101"/>
      <c r="B22" s="24"/>
      <c r="C22" s="24"/>
      <c r="D22" s="24"/>
      <c r="E22" s="3"/>
      <c r="F22" s="14"/>
      <c r="G22" s="85">
        <v>0</v>
      </c>
      <c r="H22" s="254">
        <f>E21*F21</f>
        <v>2.1024</v>
      </c>
      <c r="I22" s="95"/>
      <c r="J22" s="5"/>
    </row>
    <row r="23" spans="1:10" ht="15.75">
      <c r="A23" s="101" t="s">
        <v>388</v>
      </c>
      <c r="B23" s="24" t="s">
        <v>389</v>
      </c>
      <c r="C23" s="24" t="s">
        <v>228</v>
      </c>
      <c r="D23" s="24" t="s">
        <v>229</v>
      </c>
      <c r="E23" s="3">
        <v>0.32</v>
      </c>
      <c r="F23" s="14">
        <f>+C154</f>
        <v>4.38</v>
      </c>
      <c r="H23" s="25">
        <f>E23*F23</f>
        <v>1.4016</v>
      </c>
      <c r="I23" s="95">
        <f>E23*F23</f>
        <v>1.4016</v>
      </c>
      <c r="J23" s="51"/>
    </row>
    <row r="24" spans="1:118" s="108" customFormat="1" ht="16.5" thickBot="1">
      <c r="A24" s="90"/>
      <c r="B24" s="28"/>
      <c r="C24" s="28"/>
      <c r="D24" s="28"/>
      <c r="E24" s="8"/>
      <c r="F24" s="10"/>
      <c r="G24" s="67">
        <v>0</v>
      </c>
      <c r="H24" s="252">
        <f>E23*F23</f>
        <v>1.4016</v>
      </c>
      <c r="I24" s="96"/>
      <c r="J24" s="1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</row>
    <row r="25" spans="1:10" ht="16.5" thickTop="1">
      <c r="A25" s="122">
        <v>3.4</v>
      </c>
      <c r="B25" s="24"/>
      <c r="C25" s="24"/>
      <c r="D25" s="24"/>
      <c r="E25" s="3"/>
      <c r="F25" s="14"/>
      <c r="G25" s="85"/>
      <c r="H25" s="85"/>
      <c r="I25" s="95"/>
      <c r="J25" s="71"/>
    </row>
    <row r="26" spans="1:10" ht="15.75">
      <c r="A26" s="173" t="s">
        <v>393</v>
      </c>
      <c r="B26" s="24"/>
      <c r="C26" s="24"/>
      <c r="D26" s="24"/>
      <c r="E26" s="3"/>
      <c r="F26" s="14"/>
      <c r="G26" s="85"/>
      <c r="H26" s="85"/>
      <c r="I26" s="95"/>
      <c r="J26" s="5"/>
    </row>
    <row r="27" spans="1:10" ht="15.75">
      <c r="A27" s="246" t="s">
        <v>394</v>
      </c>
      <c r="B27" s="24" t="s">
        <v>387</v>
      </c>
      <c r="C27" s="24" t="s">
        <v>228</v>
      </c>
      <c r="D27" s="24" t="s">
        <v>229</v>
      </c>
      <c r="E27" s="266">
        <v>0.2</v>
      </c>
      <c r="F27" s="14">
        <f>+C154</f>
        <v>4.38</v>
      </c>
      <c r="H27" s="25">
        <f>E27*F27</f>
        <v>0.876</v>
      </c>
      <c r="I27" s="95">
        <f>E27*F27</f>
        <v>0.876</v>
      </c>
      <c r="J27" s="5"/>
    </row>
    <row r="28" spans="1:118" s="108" customFormat="1" ht="16.5" thickBot="1">
      <c r="A28" s="99"/>
      <c r="B28" s="28"/>
      <c r="C28" s="28"/>
      <c r="D28" s="28"/>
      <c r="E28" s="8"/>
      <c r="F28" s="10"/>
      <c r="G28" s="67">
        <v>0</v>
      </c>
      <c r="H28" s="252">
        <f>E27*F27</f>
        <v>0.876</v>
      </c>
      <c r="I28" s="96"/>
      <c r="J28" s="1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</row>
    <row r="29" spans="1:10" ht="16.5" thickTop="1">
      <c r="A29" s="127">
        <v>3.5</v>
      </c>
      <c r="B29" s="24"/>
      <c r="C29" s="24"/>
      <c r="D29" s="24"/>
      <c r="E29" s="3"/>
      <c r="F29" s="14"/>
      <c r="G29" s="85"/>
      <c r="H29" s="85"/>
      <c r="I29" s="95"/>
      <c r="J29" s="71"/>
    </row>
    <row r="30" spans="1:10" ht="15.75">
      <c r="A30" s="128" t="s">
        <v>395</v>
      </c>
      <c r="B30" s="24"/>
      <c r="C30" s="24"/>
      <c r="D30" s="24"/>
      <c r="E30" s="3"/>
      <c r="F30" s="14"/>
      <c r="G30" s="85"/>
      <c r="H30" s="85"/>
      <c r="I30" s="95"/>
      <c r="J30" s="5"/>
    </row>
    <row r="31" spans="1:10" ht="15.75">
      <c r="A31" s="128" t="s">
        <v>396</v>
      </c>
      <c r="B31" s="24"/>
      <c r="C31" s="24"/>
      <c r="D31" s="24"/>
      <c r="E31" s="3"/>
      <c r="F31" s="14"/>
      <c r="G31" s="85"/>
      <c r="H31" s="85"/>
      <c r="I31" s="95"/>
      <c r="J31" s="5"/>
    </row>
    <row r="32" spans="1:10" ht="15.75">
      <c r="A32" s="174" t="s">
        <v>397</v>
      </c>
      <c r="B32" s="24" t="s">
        <v>387</v>
      </c>
      <c r="C32" s="24" t="s">
        <v>228</v>
      </c>
      <c r="D32" s="24" t="s">
        <v>229</v>
      </c>
      <c r="E32" s="3">
        <v>0.67</v>
      </c>
      <c r="F32" s="14">
        <f>+C154</f>
        <v>4.38</v>
      </c>
      <c r="H32" s="25">
        <f>E32*F32</f>
        <v>2.9346</v>
      </c>
      <c r="I32" s="95">
        <f>E32*F32</f>
        <v>2.9346</v>
      </c>
      <c r="J32" s="5"/>
    </row>
    <row r="33" spans="1:10" ht="16.5" thickBot="1">
      <c r="A33" s="101"/>
      <c r="B33" s="24"/>
      <c r="C33" s="24"/>
      <c r="D33" s="28"/>
      <c r="E33" s="3"/>
      <c r="F33" s="14"/>
      <c r="G33" s="85">
        <v>0</v>
      </c>
      <c r="H33" s="254">
        <f>E32*F32</f>
        <v>2.9346</v>
      </c>
      <c r="I33" s="95"/>
      <c r="J33" s="5"/>
    </row>
    <row r="34" spans="1:10" ht="16.5" thickTop="1">
      <c r="A34" s="101" t="s">
        <v>398</v>
      </c>
      <c r="B34" s="24" t="s">
        <v>389</v>
      </c>
      <c r="C34" s="24" t="s">
        <v>228</v>
      </c>
      <c r="D34" s="24" t="s">
        <v>229</v>
      </c>
      <c r="E34" s="266">
        <v>1.2</v>
      </c>
      <c r="F34" s="14">
        <f>+C154</f>
        <v>4.38</v>
      </c>
      <c r="H34" s="25">
        <f>E34*F34</f>
        <v>5.255999999999999</v>
      </c>
      <c r="I34" s="95">
        <f>E34*F34</f>
        <v>5.255999999999999</v>
      </c>
      <c r="J34" s="5"/>
    </row>
    <row r="35" spans="1:118" s="108" customFormat="1" ht="16.5" thickBot="1">
      <c r="A35" s="90"/>
      <c r="B35" s="28"/>
      <c r="C35" s="28"/>
      <c r="D35" s="28"/>
      <c r="E35" s="8"/>
      <c r="F35" s="10"/>
      <c r="G35" s="67">
        <v>0</v>
      </c>
      <c r="H35" s="252">
        <f>E34*F34</f>
        <v>5.255999999999999</v>
      </c>
      <c r="I35" s="96"/>
      <c r="J35" s="1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1:10" ht="16.5" thickTop="1">
      <c r="A36" s="122">
        <v>3.6</v>
      </c>
      <c r="B36" s="24"/>
      <c r="C36" s="24"/>
      <c r="D36" s="24"/>
      <c r="E36" s="3"/>
      <c r="F36" s="14"/>
      <c r="G36" s="85"/>
      <c r="H36" s="85"/>
      <c r="I36" s="95"/>
      <c r="J36" s="71"/>
    </row>
    <row r="37" spans="1:10" ht="15.75">
      <c r="A37" s="123" t="s">
        <v>399</v>
      </c>
      <c r="B37" s="24"/>
      <c r="C37" s="24"/>
      <c r="D37" s="24"/>
      <c r="E37" s="3"/>
      <c r="F37" s="14"/>
      <c r="G37" s="85"/>
      <c r="H37" s="85"/>
      <c r="I37" s="95"/>
      <c r="J37" s="5"/>
    </row>
    <row r="38" spans="1:10" ht="15.75">
      <c r="A38" s="123" t="s">
        <v>400</v>
      </c>
      <c r="B38" s="24"/>
      <c r="C38" s="24"/>
      <c r="D38" s="24"/>
      <c r="E38" s="3"/>
      <c r="F38" s="14"/>
      <c r="G38" s="85"/>
      <c r="H38" s="85"/>
      <c r="I38" s="95"/>
      <c r="J38" s="5"/>
    </row>
    <row r="39" spans="1:10" ht="15.75">
      <c r="A39" s="174" t="s">
        <v>401</v>
      </c>
      <c r="B39" s="24" t="s">
        <v>387</v>
      </c>
      <c r="C39" s="24" t="s">
        <v>228</v>
      </c>
      <c r="D39" s="24" t="s">
        <v>229</v>
      </c>
      <c r="E39" s="266">
        <v>0.3</v>
      </c>
      <c r="F39" s="14">
        <f>+C154</f>
        <v>4.38</v>
      </c>
      <c r="H39" s="25">
        <f>E39*F39</f>
        <v>1.3139999999999998</v>
      </c>
      <c r="I39" s="95">
        <f>E39*F39</f>
        <v>1.3139999999999998</v>
      </c>
      <c r="J39" s="5"/>
    </row>
    <row r="40" spans="1:10" ht="15.75">
      <c r="A40" s="101"/>
      <c r="B40" s="24"/>
      <c r="C40" s="24"/>
      <c r="D40" s="24"/>
      <c r="E40" s="3"/>
      <c r="F40" s="14"/>
      <c r="G40" s="85">
        <v>0</v>
      </c>
      <c r="H40" s="254">
        <f>E39*F39</f>
        <v>1.3139999999999998</v>
      </c>
      <c r="I40" s="95"/>
      <c r="J40" s="5"/>
    </row>
    <row r="41" spans="1:10" ht="15.75">
      <c r="A41" s="101" t="s">
        <v>402</v>
      </c>
      <c r="B41" s="24" t="s">
        <v>389</v>
      </c>
      <c r="C41" s="24" t="s">
        <v>228</v>
      </c>
      <c r="D41" s="24" t="s">
        <v>229</v>
      </c>
      <c r="E41" s="266">
        <v>0.7</v>
      </c>
      <c r="F41" s="14">
        <f>+C154</f>
        <v>4.38</v>
      </c>
      <c r="H41" s="25">
        <f>E41*F41</f>
        <v>3.066</v>
      </c>
      <c r="I41" s="95">
        <f>E41*F41</f>
        <v>3.066</v>
      </c>
      <c r="J41" s="5"/>
    </row>
    <row r="42" spans="1:10" ht="15.75">
      <c r="A42" s="101"/>
      <c r="B42" s="24"/>
      <c r="C42" s="24"/>
      <c r="D42" s="24"/>
      <c r="E42" s="3"/>
      <c r="F42" s="14"/>
      <c r="G42" s="85">
        <v>0</v>
      </c>
      <c r="H42" s="254">
        <f>E41*F41</f>
        <v>3.066</v>
      </c>
      <c r="I42" s="95"/>
      <c r="J42" s="5"/>
    </row>
    <row r="43" spans="1:10" ht="15.75">
      <c r="A43" s="101" t="s">
        <v>403</v>
      </c>
      <c r="B43" s="24" t="s">
        <v>404</v>
      </c>
      <c r="C43" s="24" t="s">
        <v>228</v>
      </c>
      <c r="D43" s="24" t="s">
        <v>229</v>
      </c>
      <c r="E43" s="3">
        <v>1</v>
      </c>
      <c r="F43" s="14">
        <f>+C154</f>
        <v>4.38</v>
      </c>
      <c r="H43" s="25">
        <f>E43*F43</f>
        <v>4.38</v>
      </c>
      <c r="I43" s="95">
        <f>E43*F43</f>
        <v>4.38</v>
      </c>
      <c r="J43" s="5"/>
    </row>
    <row r="44" spans="1:10" ht="15.75">
      <c r="A44" s="101"/>
      <c r="B44" s="24"/>
      <c r="C44" s="24"/>
      <c r="D44" s="24"/>
      <c r="E44" s="3"/>
      <c r="F44" s="14"/>
      <c r="G44" s="85">
        <v>0</v>
      </c>
      <c r="H44" s="85">
        <f>E43*F43</f>
        <v>4.38</v>
      </c>
      <c r="I44" s="95"/>
      <c r="J44" s="5"/>
    </row>
    <row r="45" spans="1:10" ht="15.75">
      <c r="A45" s="101" t="s">
        <v>405</v>
      </c>
      <c r="B45" s="24" t="s">
        <v>406</v>
      </c>
      <c r="C45" s="24" t="s">
        <v>228</v>
      </c>
      <c r="D45" s="24" t="s">
        <v>229</v>
      </c>
      <c r="E45" s="3">
        <v>1.74</v>
      </c>
      <c r="F45" s="14">
        <f>+C154</f>
        <v>4.38</v>
      </c>
      <c r="H45" s="25">
        <f>E45*F45</f>
        <v>7.6212</v>
      </c>
      <c r="I45" s="95">
        <f>E45*F45</f>
        <v>7.6212</v>
      </c>
      <c r="J45" s="5"/>
    </row>
    <row r="46" spans="1:118" s="108" customFormat="1" ht="16.5" thickBot="1">
      <c r="A46" s="90"/>
      <c r="B46" s="28"/>
      <c r="C46" s="28"/>
      <c r="D46" s="28"/>
      <c r="E46" s="8"/>
      <c r="F46" s="10"/>
      <c r="G46" s="67">
        <v>0</v>
      </c>
      <c r="H46" s="252">
        <f>E45*F45</f>
        <v>7.6212</v>
      </c>
      <c r="I46" s="96"/>
      <c r="J46" s="1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1:10" ht="16.5" thickTop="1">
      <c r="A47" s="122">
        <v>3.7</v>
      </c>
      <c r="B47" s="24"/>
      <c r="C47" s="24"/>
      <c r="D47" s="24"/>
      <c r="E47" s="3"/>
      <c r="F47" s="14"/>
      <c r="G47" s="85"/>
      <c r="H47" s="85"/>
      <c r="I47" s="95"/>
      <c r="J47" s="71"/>
    </row>
    <row r="48" spans="1:10" ht="15.75">
      <c r="A48" s="123" t="s">
        <v>407</v>
      </c>
      <c r="B48" s="24"/>
      <c r="C48" s="24"/>
      <c r="D48" s="24"/>
      <c r="E48" s="3"/>
      <c r="F48" s="14"/>
      <c r="G48" s="85"/>
      <c r="H48" s="85"/>
      <c r="I48" s="95"/>
      <c r="J48" s="5"/>
    </row>
    <row r="49" spans="1:10" ht="15.75">
      <c r="A49" s="123" t="s">
        <v>408</v>
      </c>
      <c r="B49" s="24"/>
      <c r="C49" s="24"/>
      <c r="D49" s="24"/>
      <c r="E49" s="3"/>
      <c r="F49" s="14"/>
      <c r="G49" s="85"/>
      <c r="H49" s="85"/>
      <c r="I49" s="95"/>
      <c r="J49" s="5"/>
    </row>
    <row r="50" spans="1:10" ht="15.75">
      <c r="A50" s="174" t="s">
        <v>401</v>
      </c>
      <c r="B50" s="24" t="s">
        <v>387</v>
      </c>
      <c r="C50" s="24" t="s">
        <v>228</v>
      </c>
      <c r="D50" s="24" t="s">
        <v>229</v>
      </c>
      <c r="E50" s="3">
        <v>0.15</v>
      </c>
      <c r="F50" s="14">
        <f>+C154</f>
        <v>4.38</v>
      </c>
      <c r="H50" s="25">
        <f>E50*F50</f>
        <v>0.6569999999999999</v>
      </c>
      <c r="I50" s="95">
        <f>E50*F50</f>
        <v>0.6569999999999999</v>
      </c>
      <c r="J50" s="5"/>
    </row>
    <row r="51" spans="1:10" ht="15.75">
      <c r="A51" s="101"/>
      <c r="B51" s="24"/>
      <c r="C51" s="24"/>
      <c r="D51" s="24"/>
      <c r="E51" s="3"/>
      <c r="F51" s="14"/>
      <c r="G51" s="85">
        <v>0</v>
      </c>
      <c r="H51" s="254">
        <f>E50*F50</f>
        <v>0.6569999999999999</v>
      </c>
      <c r="I51" s="95"/>
      <c r="J51" s="5"/>
    </row>
    <row r="52" spans="1:10" ht="15.75">
      <c r="A52" s="101" t="s">
        <v>402</v>
      </c>
      <c r="B52" s="24" t="s">
        <v>389</v>
      </c>
      <c r="C52" s="24" t="s">
        <v>228</v>
      </c>
      <c r="D52" s="24" t="s">
        <v>229</v>
      </c>
      <c r="E52" s="3">
        <v>0.35</v>
      </c>
      <c r="F52" s="14">
        <f>+C154</f>
        <v>4.38</v>
      </c>
      <c r="H52" s="25">
        <f>E52*F52</f>
        <v>1.533</v>
      </c>
      <c r="I52" s="95">
        <f>E52*F52</f>
        <v>1.533</v>
      </c>
      <c r="J52" s="5"/>
    </row>
    <row r="53" spans="1:10" ht="15.75">
      <c r="A53" s="101"/>
      <c r="B53" s="24"/>
      <c r="C53" s="24"/>
      <c r="D53" s="24"/>
      <c r="E53" s="3"/>
      <c r="F53" s="14"/>
      <c r="G53" s="85">
        <v>0</v>
      </c>
      <c r="H53" s="254">
        <f>E52*F52</f>
        <v>1.533</v>
      </c>
      <c r="I53" s="95"/>
      <c r="J53" s="5"/>
    </row>
    <row r="54" spans="1:10" ht="15.75">
      <c r="A54" s="101" t="s">
        <v>403</v>
      </c>
      <c r="B54" s="24" t="s">
        <v>404</v>
      </c>
      <c r="C54" s="24" t="s">
        <v>228</v>
      </c>
      <c r="D54" s="24" t="s">
        <v>229</v>
      </c>
      <c r="E54" s="266">
        <v>0.5</v>
      </c>
      <c r="F54" s="14">
        <f>+C154</f>
        <v>4.38</v>
      </c>
      <c r="H54" s="25">
        <f>E54*F54</f>
        <v>2.19</v>
      </c>
      <c r="I54" s="95">
        <f>E54*F54</f>
        <v>2.19</v>
      </c>
      <c r="J54" s="51"/>
    </row>
    <row r="55" spans="1:118" s="108" customFormat="1" ht="16.5" thickBot="1">
      <c r="A55" s="90"/>
      <c r="B55" s="28"/>
      <c r="C55" s="28"/>
      <c r="D55" s="28"/>
      <c r="E55" s="8"/>
      <c r="F55" s="10"/>
      <c r="G55" s="67">
        <v>0</v>
      </c>
      <c r="H55" s="252">
        <f>E54*F54</f>
        <v>2.19</v>
      </c>
      <c r="I55" s="96"/>
      <c r="J55" s="1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1:10" ht="16.5" thickTop="1">
      <c r="A56" s="122">
        <v>3.8</v>
      </c>
      <c r="B56" s="24"/>
      <c r="C56" s="24"/>
      <c r="D56" s="24"/>
      <c r="E56" s="3"/>
      <c r="F56" s="14"/>
      <c r="G56" s="85"/>
      <c r="H56" s="85"/>
      <c r="I56" s="95"/>
      <c r="J56" s="71"/>
    </row>
    <row r="57" spans="1:10" ht="15.75">
      <c r="A57" s="123" t="s">
        <v>409</v>
      </c>
      <c r="B57" s="24"/>
      <c r="C57" s="24"/>
      <c r="D57" s="24"/>
      <c r="E57" s="3"/>
      <c r="F57" s="14"/>
      <c r="G57" s="85"/>
      <c r="H57" s="85"/>
      <c r="I57" s="95"/>
      <c r="J57" s="5"/>
    </row>
    <row r="58" spans="1:10" ht="15.75">
      <c r="A58" s="123" t="s">
        <v>410</v>
      </c>
      <c r="B58" s="24"/>
      <c r="C58" s="24"/>
      <c r="D58" s="24"/>
      <c r="E58" s="3"/>
      <c r="F58" s="14"/>
      <c r="G58" s="85"/>
      <c r="H58" s="85"/>
      <c r="I58" s="95"/>
      <c r="J58" s="5"/>
    </row>
    <row r="59" spans="1:10" ht="15.75">
      <c r="A59" s="174" t="s">
        <v>411</v>
      </c>
      <c r="B59" s="24" t="s">
        <v>387</v>
      </c>
      <c r="C59" s="24" t="s">
        <v>228</v>
      </c>
      <c r="D59" s="24" t="s">
        <v>229</v>
      </c>
      <c r="E59" s="3">
        <v>0.75</v>
      </c>
      <c r="F59" s="14">
        <f>+C154</f>
        <v>4.38</v>
      </c>
      <c r="H59" s="25">
        <f>E59*F59</f>
        <v>3.285</v>
      </c>
      <c r="I59" s="95">
        <f>E59*F59</f>
        <v>3.285</v>
      </c>
      <c r="J59" s="5"/>
    </row>
    <row r="60" spans="1:10" ht="15.75">
      <c r="A60" s="101"/>
      <c r="B60" s="24"/>
      <c r="C60" s="24"/>
      <c r="D60" s="24"/>
      <c r="E60" s="3"/>
      <c r="F60" s="14"/>
      <c r="G60" s="85">
        <v>0</v>
      </c>
      <c r="H60" s="254">
        <f>E59*F59</f>
        <v>3.285</v>
      </c>
      <c r="I60" s="95"/>
      <c r="J60" s="5"/>
    </row>
    <row r="61" spans="1:10" ht="15.75">
      <c r="A61" s="101" t="s">
        <v>412</v>
      </c>
      <c r="B61" s="24" t="s">
        <v>389</v>
      </c>
      <c r="C61" s="24" t="s">
        <v>228</v>
      </c>
      <c r="D61" s="24" t="s">
        <v>229</v>
      </c>
      <c r="E61" s="266">
        <v>2.1</v>
      </c>
      <c r="F61" s="14">
        <f>+C154</f>
        <v>4.38</v>
      </c>
      <c r="H61" s="25">
        <f>E61*F61</f>
        <v>9.198</v>
      </c>
      <c r="I61" s="95">
        <f>E61*F61</f>
        <v>9.198</v>
      </c>
      <c r="J61" s="5"/>
    </row>
    <row r="62" spans="1:118" s="108" customFormat="1" ht="16.5" thickBot="1">
      <c r="A62" s="90"/>
      <c r="B62" s="28"/>
      <c r="C62" s="28"/>
      <c r="D62" s="28"/>
      <c r="E62" s="8"/>
      <c r="F62" s="10"/>
      <c r="G62" s="67">
        <v>0</v>
      </c>
      <c r="H62" s="252">
        <f>E61*F61</f>
        <v>9.198</v>
      </c>
      <c r="I62" s="96"/>
      <c r="J62" s="1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</row>
    <row r="63" spans="1:10" ht="16.5" thickTop="1">
      <c r="A63" s="122">
        <v>3.9</v>
      </c>
      <c r="B63" s="24"/>
      <c r="C63" s="24"/>
      <c r="D63" s="24"/>
      <c r="E63" s="3"/>
      <c r="F63" s="14"/>
      <c r="G63" s="85"/>
      <c r="H63" s="85"/>
      <c r="I63" s="95"/>
      <c r="J63" s="71"/>
    </row>
    <row r="64" spans="1:10" ht="15.75">
      <c r="A64" s="123" t="s">
        <v>413</v>
      </c>
      <c r="B64" s="24"/>
      <c r="C64" s="24"/>
      <c r="D64" s="24"/>
      <c r="E64" s="3"/>
      <c r="F64" s="14"/>
      <c r="G64" s="85"/>
      <c r="H64" s="85"/>
      <c r="I64" s="95"/>
      <c r="J64" s="5"/>
    </row>
    <row r="65" spans="1:10" ht="15.75">
      <c r="A65" s="123" t="s">
        <v>410</v>
      </c>
      <c r="B65" s="24"/>
      <c r="C65" s="24"/>
      <c r="D65" s="24"/>
      <c r="E65" s="3"/>
      <c r="F65" s="14"/>
      <c r="G65" s="85"/>
      <c r="H65" s="85"/>
      <c r="I65" s="95"/>
      <c r="J65" s="5"/>
    </row>
    <row r="66" spans="1:10" ht="15.75">
      <c r="A66" s="174" t="s">
        <v>414</v>
      </c>
      <c r="B66" s="24" t="s">
        <v>387</v>
      </c>
      <c r="C66" s="24" t="s">
        <v>228</v>
      </c>
      <c r="D66" s="24" t="s">
        <v>229</v>
      </c>
      <c r="E66" s="266">
        <v>0.2</v>
      </c>
      <c r="F66" s="14">
        <f>+C154</f>
        <v>4.38</v>
      </c>
      <c r="H66" s="25">
        <f>E66*F66</f>
        <v>0.876</v>
      </c>
      <c r="I66" s="95">
        <f>E66*F66</f>
        <v>0.876</v>
      </c>
      <c r="J66" s="5"/>
    </row>
    <row r="67" spans="1:10" ht="15.75">
      <c r="A67" s="101"/>
      <c r="B67" s="24"/>
      <c r="C67" s="24"/>
      <c r="D67" s="24"/>
      <c r="E67" s="3"/>
      <c r="F67" s="14"/>
      <c r="G67" s="85">
        <v>0</v>
      </c>
      <c r="H67" s="254">
        <f>E66*F66</f>
        <v>0.876</v>
      </c>
      <c r="I67" s="95"/>
      <c r="J67" s="5"/>
    </row>
    <row r="68" spans="1:10" ht="15.75">
      <c r="A68" s="101" t="s">
        <v>415</v>
      </c>
      <c r="B68" s="24" t="s">
        <v>389</v>
      </c>
      <c r="C68" s="24" t="s">
        <v>228</v>
      </c>
      <c r="D68" s="24" t="s">
        <v>229</v>
      </c>
      <c r="E68" s="266">
        <v>0.3</v>
      </c>
      <c r="F68" s="14">
        <f>+C154</f>
        <v>4.38</v>
      </c>
      <c r="H68" s="25">
        <f>E68*F68</f>
        <v>1.3139999999999998</v>
      </c>
      <c r="I68" s="95">
        <f>E68*F68</f>
        <v>1.3139999999999998</v>
      </c>
      <c r="J68" s="5"/>
    </row>
    <row r="69" spans="1:10" ht="15.75">
      <c r="A69" s="101"/>
      <c r="B69" s="24"/>
      <c r="C69" s="24"/>
      <c r="D69" s="24"/>
      <c r="E69" s="3"/>
      <c r="F69" s="14"/>
      <c r="G69" s="85">
        <v>0</v>
      </c>
      <c r="H69" s="254">
        <f>E68*F68</f>
        <v>1.3139999999999998</v>
      </c>
      <c r="I69" s="95"/>
      <c r="J69" s="5"/>
    </row>
    <row r="70" spans="1:10" ht="15.75">
      <c r="A70" s="101" t="s">
        <v>416</v>
      </c>
      <c r="B70" s="24" t="s">
        <v>404</v>
      </c>
      <c r="C70" s="24" t="s">
        <v>228</v>
      </c>
      <c r="D70" s="24" t="s">
        <v>229</v>
      </c>
      <c r="E70" s="3">
        <v>0.56</v>
      </c>
      <c r="F70" s="14">
        <f>+C154</f>
        <v>4.38</v>
      </c>
      <c r="H70" s="25">
        <f>E70*F70</f>
        <v>2.4528000000000003</v>
      </c>
      <c r="I70" s="95">
        <f>E70*F70</f>
        <v>2.4528000000000003</v>
      </c>
      <c r="J70" s="5"/>
    </row>
    <row r="71" spans="1:118" s="108" customFormat="1" ht="16.5" thickBot="1">
      <c r="A71" s="90"/>
      <c r="B71" s="28"/>
      <c r="C71" s="28"/>
      <c r="D71" s="28"/>
      <c r="E71" s="8"/>
      <c r="F71" s="10"/>
      <c r="G71" s="67">
        <v>0</v>
      </c>
      <c r="H71" s="252">
        <f>E70*F70</f>
        <v>2.4528000000000003</v>
      </c>
      <c r="I71" s="96"/>
      <c r="J71" s="1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</row>
    <row r="72" spans="1:10" ht="16.5" thickTop="1">
      <c r="A72" s="129">
        <v>3.1</v>
      </c>
      <c r="B72" s="24"/>
      <c r="C72" s="24"/>
      <c r="D72" s="24"/>
      <c r="E72" s="3"/>
      <c r="F72" s="14"/>
      <c r="G72" s="85"/>
      <c r="H72" s="85"/>
      <c r="I72" s="95"/>
      <c r="J72" s="71"/>
    </row>
    <row r="73" spans="1:10" ht="15.75">
      <c r="A73" s="122" t="s">
        <v>417</v>
      </c>
      <c r="B73" s="24"/>
      <c r="C73" s="24"/>
      <c r="D73" s="24"/>
      <c r="E73" s="3"/>
      <c r="F73" s="14"/>
      <c r="G73" s="85"/>
      <c r="H73" s="85"/>
      <c r="I73" s="95"/>
      <c r="J73" s="5"/>
    </row>
    <row r="74" spans="1:10" ht="15.75">
      <c r="A74" s="177" t="s">
        <v>418</v>
      </c>
      <c r="B74" s="24"/>
      <c r="C74" s="24" t="s">
        <v>228</v>
      </c>
      <c r="D74" s="24" t="s">
        <v>229</v>
      </c>
      <c r="E74" s="3">
        <v>11</v>
      </c>
      <c r="F74" s="14">
        <f>+C154</f>
        <v>4.38</v>
      </c>
      <c r="H74" s="25">
        <f>E74*F74</f>
        <v>48.18</v>
      </c>
      <c r="I74" s="95">
        <f>E74*F74</f>
        <v>48.18</v>
      </c>
      <c r="J74" s="5"/>
    </row>
    <row r="75" spans="1:118" s="108" customFormat="1" ht="16.5" thickBot="1">
      <c r="A75" s="90"/>
      <c r="B75" s="28"/>
      <c r="C75" s="28"/>
      <c r="D75" s="28"/>
      <c r="E75" s="8"/>
      <c r="F75" s="10"/>
      <c r="G75" s="67">
        <v>0</v>
      </c>
      <c r="H75" s="67">
        <f>E74*F74</f>
        <v>48.18</v>
      </c>
      <c r="I75" s="96"/>
      <c r="J75" s="1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</row>
    <row r="76" spans="1:10" ht="16.5" thickTop="1">
      <c r="A76" s="122">
        <v>3.11</v>
      </c>
      <c r="B76" s="24"/>
      <c r="C76" s="24"/>
      <c r="D76" s="24"/>
      <c r="E76" s="3"/>
      <c r="F76" s="14"/>
      <c r="G76" s="85"/>
      <c r="H76" s="85"/>
      <c r="I76" s="95"/>
      <c r="J76" s="71"/>
    </row>
    <row r="77" spans="1:10" ht="15.75">
      <c r="A77" s="123" t="s">
        <v>419</v>
      </c>
      <c r="B77" s="24"/>
      <c r="C77" s="24"/>
      <c r="D77" s="24"/>
      <c r="E77" s="3"/>
      <c r="F77" s="14"/>
      <c r="G77" s="85"/>
      <c r="H77" s="85"/>
      <c r="I77" s="95"/>
      <c r="J77" s="5"/>
    </row>
    <row r="78" spans="1:10" ht="15.75">
      <c r="A78" s="172" t="s">
        <v>418</v>
      </c>
      <c r="B78" s="24"/>
      <c r="C78" s="24" t="s">
        <v>228</v>
      </c>
      <c r="D78" s="24" t="s">
        <v>229</v>
      </c>
      <c r="E78" s="3">
        <v>30</v>
      </c>
      <c r="F78" s="14">
        <f>+C154</f>
        <v>4.38</v>
      </c>
      <c r="H78" s="25">
        <f>E78*F78</f>
        <v>131.4</v>
      </c>
      <c r="I78" s="95">
        <f>E78*F78</f>
        <v>131.4</v>
      </c>
      <c r="J78" s="5"/>
    </row>
    <row r="79" spans="1:118" s="108" customFormat="1" ht="16.5" thickBot="1">
      <c r="A79" s="90"/>
      <c r="B79" s="28"/>
      <c r="C79" s="28"/>
      <c r="D79" s="28"/>
      <c r="E79" s="8"/>
      <c r="F79" s="10"/>
      <c r="G79" s="67">
        <v>0</v>
      </c>
      <c r="H79" s="67">
        <f>E78*F78</f>
        <v>131.4</v>
      </c>
      <c r="I79" s="96"/>
      <c r="J79" s="1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</row>
    <row r="80" spans="1:10" ht="16.5" thickTop="1">
      <c r="A80" s="122">
        <v>3.12</v>
      </c>
      <c r="B80" s="24"/>
      <c r="C80" s="24"/>
      <c r="D80" s="24"/>
      <c r="E80" s="3"/>
      <c r="F80" s="14"/>
      <c r="G80" s="85"/>
      <c r="H80" s="85"/>
      <c r="I80" s="95"/>
      <c r="J80" s="71"/>
    </row>
    <row r="81" spans="1:10" ht="15.75">
      <c r="A81" s="123" t="s">
        <v>420</v>
      </c>
      <c r="B81" s="24"/>
      <c r="C81" s="24"/>
      <c r="D81" s="24"/>
      <c r="E81" s="3"/>
      <c r="F81" s="14"/>
      <c r="G81" s="85"/>
      <c r="H81" s="85"/>
      <c r="I81" s="95"/>
      <c r="J81" s="5"/>
    </row>
    <row r="82" spans="1:10" ht="15.75">
      <c r="A82" s="123" t="s">
        <v>421</v>
      </c>
      <c r="B82" s="24"/>
      <c r="C82" s="24"/>
      <c r="D82" s="24"/>
      <c r="E82" s="3"/>
      <c r="F82" s="14"/>
      <c r="G82" s="85"/>
      <c r="H82" s="85"/>
      <c r="I82" s="95"/>
      <c r="J82" s="5"/>
    </row>
    <row r="83" spans="1:10" ht="15.75">
      <c r="A83" s="174" t="s">
        <v>411</v>
      </c>
      <c r="B83" s="24" t="s">
        <v>387</v>
      </c>
      <c r="C83" s="24" t="s">
        <v>228</v>
      </c>
      <c r="D83" s="24" t="s">
        <v>229</v>
      </c>
      <c r="E83" s="266">
        <v>1.2</v>
      </c>
      <c r="F83" s="14">
        <f>+C154</f>
        <v>4.38</v>
      </c>
      <c r="H83" s="25">
        <f>E83*F83</f>
        <v>5.255999999999999</v>
      </c>
      <c r="I83" s="95">
        <f>E83*F83</f>
        <v>5.255999999999999</v>
      </c>
      <c r="J83" s="5"/>
    </row>
    <row r="84" spans="1:10" ht="15.75">
      <c r="A84" s="101"/>
      <c r="B84" s="24"/>
      <c r="C84" s="24"/>
      <c r="D84" s="24"/>
      <c r="E84" s="3"/>
      <c r="F84" s="14"/>
      <c r="G84" s="85">
        <v>0</v>
      </c>
      <c r="H84" s="254">
        <f>E83*F83</f>
        <v>5.255999999999999</v>
      </c>
      <c r="I84" s="95"/>
      <c r="J84" s="5"/>
    </row>
    <row r="85" spans="1:10" ht="15.75">
      <c r="A85" s="101" t="s">
        <v>412</v>
      </c>
      <c r="B85" s="24" t="s">
        <v>389</v>
      </c>
      <c r="C85" s="24" t="s">
        <v>228</v>
      </c>
      <c r="D85" s="24" t="s">
        <v>229</v>
      </c>
      <c r="E85" s="3">
        <v>3.15</v>
      </c>
      <c r="F85" s="14">
        <f>+C154</f>
        <v>4.38</v>
      </c>
      <c r="H85" s="271">
        <f>E85*F85</f>
        <v>13.796999999999999</v>
      </c>
      <c r="I85" s="95">
        <f>E85*F85</f>
        <v>13.796999999999999</v>
      </c>
      <c r="J85" s="5"/>
    </row>
    <row r="86" spans="1:118" s="108" customFormat="1" ht="16.5" thickBot="1">
      <c r="A86" s="90"/>
      <c r="B86" s="28"/>
      <c r="C86" s="28"/>
      <c r="D86" s="28"/>
      <c r="E86" s="8"/>
      <c r="F86" s="10"/>
      <c r="G86" s="67">
        <v>0</v>
      </c>
      <c r="H86" s="252">
        <f>E85*F85</f>
        <v>13.796999999999999</v>
      </c>
      <c r="I86" s="96"/>
      <c r="J86" s="1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</row>
    <row r="87" spans="1:10" ht="16.5" thickTop="1">
      <c r="A87" s="122">
        <v>3.13</v>
      </c>
      <c r="B87" s="24"/>
      <c r="C87" s="24"/>
      <c r="D87" s="24"/>
      <c r="E87" s="3"/>
      <c r="F87" s="14"/>
      <c r="G87" s="85"/>
      <c r="H87" s="85"/>
      <c r="I87" s="95"/>
      <c r="J87" s="71"/>
    </row>
    <row r="88" spans="1:10" ht="15.75">
      <c r="A88" s="123" t="s">
        <v>422</v>
      </c>
      <c r="B88" s="24"/>
      <c r="C88" s="24"/>
      <c r="D88" s="24"/>
      <c r="E88" s="3"/>
      <c r="F88" s="14"/>
      <c r="G88" s="85"/>
      <c r="H88" s="85"/>
      <c r="I88" s="95"/>
      <c r="J88" s="5"/>
    </row>
    <row r="89" spans="1:10" ht="15.75">
      <c r="A89" s="123" t="s">
        <v>423</v>
      </c>
      <c r="B89" s="24"/>
      <c r="C89" s="24"/>
      <c r="D89" s="24"/>
      <c r="E89" s="3"/>
      <c r="F89" s="14"/>
      <c r="G89" s="85"/>
      <c r="H89" s="85"/>
      <c r="I89" s="95"/>
      <c r="J89" s="5"/>
    </row>
    <row r="90" spans="1:10" ht="15.75">
      <c r="A90" s="174" t="s">
        <v>414</v>
      </c>
      <c r="B90" s="24" t="s">
        <v>387</v>
      </c>
      <c r="C90" s="24" t="s">
        <v>228</v>
      </c>
      <c r="D90" s="24" t="s">
        <v>229</v>
      </c>
      <c r="E90" s="3">
        <v>0.35</v>
      </c>
      <c r="F90" s="14">
        <f>+C154</f>
        <v>4.38</v>
      </c>
      <c r="H90" s="25">
        <f>E90*F90</f>
        <v>1.533</v>
      </c>
      <c r="I90" s="95">
        <f>E90*F90</f>
        <v>1.533</v>
      </c>
      <c r="J90" s="5"/>
    </row>
    <row r="91" spans="1:10" ht="15.75">
      <c r="A91" s="101"/>
      <c r="B91" s="24"/>
      <c r="C91" s="24"/>
      <c r="D91" s="24"/>
      <c r="E91" s="3"/>
      <c r="F91" s="14"/>
      <c r="G91" s="85">
        <v>0</v>
      </c>
      <c r="H91" s="254">
        <f>E90*F90</f>
        <v>1.533</v>
      </c>
      <c r="I91" s="95"/>
      <c r="J91" s="5"/>
    </row>
    <row r="92" spans="1:10" ht="15.75">
      <c r="A92" s="101" t="s">
        <v>415</v>
      </c>
      <c r="B92" s="24" t="s">
        <v>389</v>
      </c>
      <c r="C92" s="24" t="s">
        <v>228</v>
      </c>
      <c r="D92" s="24" t="s">
        <v>229</v>
      </c>
      <c r="E92" s="3">
        <v>0.54</v>
      </c>
      <c r="F92" s="14">
        <f>+C154</f>
        <v>4.38</v>
      </c>
      <c r="H92" s="25">
        <f>E92*F92</f>
        <v>2.3652</v>
      </c>
      <c r="I92" s="95">
        <f>E92*F92</f>
        <v>2.3652</v>
      </c>
      <c r="J92" s="5"/>
    </row>
    <row r="93" spans="1:10" ht="15.75">
      <c r="A93" s="101"/>
      <c r="B93" s="24"/>
      <c r="C93" s="24"/>
      <c r="D93" s="24"/>
      <c r="E93" s="3"/>
      <c r="F93" s="14"/>
      <c r="G93" s="85">
        <v>0</v>
      </c>
      <c r="H93" s="254">
        <f>E92*F92</f>
        <v>2.3652</v>
      </c>
      <c r="I93" s="95"/>
      <c r="J93" s="5"/>
    </row>
    <row r="94" spans="1:10" ht="15.75">
      <c r="A94" s="101" t="s">
        <v>416</v>
      </c>
      <c r="B94" s="24" t="s">
        <v>404</v>
      </c>
      <c r="C94" s="24" t="s">
        <v>228</v>
      </c>
      <c r="D94" s="24" t="s">
        <v>229</v>
      </c>
      <c r="E94" s="3">
        <v>0.8</v>
      </c>
      <c r="F94" s="14">
        <f>+C154</f>
        <v>4.38</v>
      </c>
      <c r="H94" s="25">
        <f>E94*F94</f>
        <v>3.504</v>
      </c>
      <c r="I94" s="95">
        <f>E94*F94</f>
        <v>3.504</v>
      </c>
      <c r="J94" s="5"/>
    </row>
    <row r="95" spans="1:118" s="108" customFormat="1" ht="16.5" thickBot="1">
      <c r="A95" s="90"/>
      <c r="B95" s="28"/>
      <c r="C95" s="28"/>
      <c r="D95" s="28"/>
      <c r="E95" s="8"/>
      <c r="F95" s="10"/>
      <c r="G95" s="67">
        <v>0</v>
      </c>
      <c r="H95" s="252">
        <f>E94*F94</f>
        <v>3.504</v>
      </c>
      <c r="I95" s="96"/>
      <c r="J95" s="1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</row>
    <row r="96" spans="1:10" ht="16.5" thickTop="1">
      <c r="A96" s="122">
        <v>3.14</v>
      </c>
      <c r="B96" s="24"/>
      <c r="C96" s="24"/>
      <c r="D96" s="24"/>
      <c r="E96" s="3"/>
      <c r="F96" s="14"/>
      <c r="G96" s="85"/>
      <c r="H96" s="85"/>
      <c r="I96" s="95"/>
      <c r="J96" s="71"/>
    </row>
    <row r="97" spans="1:10" ht="15.75">
      <c r="A97" s="122" t="s">
        <v>424</v>
      </c>
      <c r="B97" s="24"/>
      <c r="C97" s="24"/>
      <c r="D97" s="24"/>
      <c r="E97" s="3"/>
      <c r="F97" s="14"/>
      <c r="G97" s="85"/>
      <c r="H97" s="85"/>
      <c r="I97" s="95"/>
      <c r="J97" s="5"/>
    </row>
    <row r="98" spans="1:10" ht="15.75">
      <c r="A98" s="177" t="s">
        <v>425</v>
      </c>
      <c r="B98" s="24"/>
      <c r="C98" s="24" t="s">
        <v>228</v>
      </c>
      <c r="D98" s="24" t="s">
        <v>229</v>
      </c>
      <c r="E98" s="266">
        <v>0.9</v>
      </c>
      <c r="F98" s="14">
        <f>+C154</f>
        <v>4.38</v>
      </c>
      <c r="H98" s="25">
        <f>E98*F98</f>
        <v>3.942</v>
      </c>
      <c r="I98" s="95">
        <f>E98*F98</f>
        <v>3.942</v>
      </c>
      <c r="J98" s="5"/>
    </row>
    <row r="99" spans="1:118" s="108" customFormat="1" ht="16.5" thickBot="1">
      <c r="A99" s="90"/>
      <c r="B99" s="28"/>
      <c r="C99" s="28"/>
      <c r="D99" s="28"/>
      <c r="E99" s="8"/>
      <c r="F99" s="10"/>
      <c r="G99" s="67">
        <v>0</v>
      </c>
      <c r="H99" s="252">
        <f>E98*F98</f>
        <v>3.942</v>
      </c>
      <c r="I99" s="96"/>
      <c r="J99" s="1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</row>
    <row r="100" spans="1:10" ht="16.5" thickTop="1">
      <c r="A100" s="122">
        <v>3.15</v>
      </c>
      <c r="B100" s="24"/>
      <c r="C100" s="24"/>
      <c r="D100" s="24"/>
      <c r="E100" s="3"/>
      <c r="F100" s="14"/>
      <c r="G100" s="85"/>
      <c r="H100" s="85"/>
      <c r="I100" s="95"/>
      <c r="J100" s="71"/>
    </row>
    <row r="101" spans="1:10" ht="15.75">
      <c r="A101" s="123" t="s">
        <v>426</v>
      </c>
      <c r="B101" s="24"/>
      <c r="C101" s="24"/>
      <c r="D101" s="24"/>
      <c r="E101" s="3"/>
      <c r="F101" s="14"/>
      <c r="G101" s="85"/>
      <c r="H101" s="85"/>
      <c r="I101" s="95"/>
      <c r="J101" s="5"/>
    </row>
    <row r="102" spans="1:10" ht="15.75">
      <c r="A102" s="123" t="s">
        <v>427</v>
      </c>
      <c r="B102" s="24"/>
      <c r="C102" s="24"/>
      <c r="D102" s="24"/>
      <c r="E102" s="3"/>
      <c r="F102" s="14"/>
      <c r="G102" s="85"/>
      <c r="H102" s="85"/>
      <c r="I102" s="95"/>
      <c r="J102" s="5"/>
    </row>
    <row r="103" spans="1:10" ht="15.75">
      <c r="A103" s="123" t="s">
        <v>428</v>
      </c>
      <c r="B103" s="24"/>
      <c r="C103" s="24"/>
      <c r="D103" s="24"/>
      <c r="E103" s="3"/>
      <c r="F103" s="14"/>
      <c r="G103" s="85"/>
      <c r="H103" s="85"/>
      <c r="I103" s="95"/>
      <c r="J103" s="5"/>
    </row>
    <row r="104" spans="1:10" ht="15.75">
      <c r="A104" s="174" t="s">
        <v>411</v>
      </c>
      <c r="B104" s="24" t="s">
        <v>387</v>
      </c>
      <c r="C104" s="24" t="s">
        <v>228</v>
      </c>
      <c r="D104" s="24" t="s">
        <v>229</v>
      </c>
      <c r="E104" s="3">
        <v>1.82</v>
      </c>
      <c r="F104" s="14">
        <f>+C154</f>
        <v>4.38</v>
      </c>
      <c r="H104" s="25">
        <f>E104*F104</f>
        <v>7.9716000000000005</v>
      </c>
      <c r="I104" s="95">
        <f>E104*F104</f>
        <v>7.9716000000000005</v>
      </c>
      <c r="J104" s="5"/>
    </row>
    <row r="105" spans="1:10" ht="15.75">
      <c r="A105" s="101"/>
      <c r="B105" s="24"/>
      <c r="C105" s="24"/>
      <c r="D105" s="24"/>
      <c r="E105" s="3"/>
      <c r="F105" s="14"/>
      <c r="G105" s="85">
        <v>0</v>
      </c>
      <c r="H105" s="254">
        <f>E104*F104</f>
        <v>7.9716000000000005</v>
      </c>
      <c r="I105" s="95"/>
      <c r="J105" s="5"/>
    </row>
    <row r="106" spans="1:10" ht="15.75">
      <c r="A106" s="101" t="s">
        <v>412</v>
      </c>
      <c r="B106" s="24" t="s">
        <v>389</v>
      </c>
      <c r="C106" s="24" t="s">
        <v>228</v>
      </c>
      <c r="D106" s="24" t="s">
        <v>229</v>
      </c>
      <c r="E106" s="3">
        <v>4.24</v>
      </c>
      <c r="F106" s="14">
        <f>+C154</f>
        <v>4.38</v>
      </c>
      <c r="H106" s="25">
        <f>E106*F106</f>
        <v>18.5712</v>
      </c>
      <c r="I106" s="95">
        <f>E106*F106</f>
        <v>18.5712</v>
      </c>
      <c r="J106" s="5"/>
    </row>
    <row r="107" spans="1:118" s="108" customFormat="1" ht="16.5" thickBot="1">
      <c r="A107" s="90"/>
      <c r="B107" s="28"/>
      <c r="C107" s="28"/>
      <c r="D107" s="28"/>
      <c r="E107" s="8"/>
      <c r="F107" s="10"/>
      <c r="G107" s="67">
        <v>0</v>
      </c>
      <c r="H107" s="252">
        <f>E106*F106</f>
        <v>18.5712</v>
      </c>
      <c r="I107" s="96"/>
      <c r="J107" s="1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</row>
    <row r="108" spans="1:10" ht="16.5" thickTop="1">
      <c r="A108" s="122">
        <v>3.16</v>
      </c>
      <c r="B108" s="24"/>
      <c r="C108" s="24"/>
      <c r="D108" s="24"/>
      <c r="E108" s="3"/>
      <c r="F108" s="14"/>
      <c r="G108" s="85"/>
      <c r="H108" s="85"/>
      <c r="I108" s="95"/>
      <c r="J108" s="71"/>
    </row>
    <row r="109" spans="1:10" ht="15.75">
      <c r="A109" s="123" t="s">
        <v>429</v>
      </c>
      <c r="B109" s="24"/>
      <c r="C109" s="24"/>
      <c r="D109" s="24"/>
      <c r="E109" s="3"/>
      <c r="F109" s="14"/>
      <c r="G109" s="85"/>
      <c r="H109" s="85"/>
      <c r="I109" s="95"/>
      <c r="J109" s="5"/>
    </row>
    <row r="110" spans="1:10" ht="15.75">
      <c r="A110" s="172" t="s">
        <v>430</v>
      </c>
      <c r="B110" s="24"/>
      <c r="C110" s="24" t="s">
        <v>228</v>
      </c>
      <c r="D110" s="24" t="s">
        <v>229</v>
      </c>
      <c r="E110" s="266">
        <v>0.7</v>
      </c>
      <c r="F110" s="14">
        <f>+C154</f>
        <v>4.38</v>
      </c>
      <c r="H110" s="25">
        <f>E110*F110</f>
        <v>3.066</v>
      </c>
      <c r="I110" s="95">
        <f>E110*F110</f>
        <v>3.066</v>
      </c>
      <c r="J110" s="5"/>
    </row>
    <row r="111" spans="1:118" s="108" customFormat="1" ht="16.5" thickBot="1">
      <c r="A111" s="90"/>
      <c r="B111" s="28"/>
      <c r="C111" s="28"/>
      <c r="D111" s="28"/>
      <c r="E111" s="8"/>
      <c r="F111" s="10"/>
      <c r="G111" s="67">
        <v>0</v>
      </c>
      <c r="H111" s="252">
        <f>E110*F110</f>
        <v>3.066</v>
      </c>
      <c r="I111" s="96"/>
      <c r="J111" s="1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</row>
    <row r="112" spans="1:10" ht="16.5" thickTop="1">
      <c r="A112" s="122">
        <v>3.17</v>
      </c>
      <c r="B112" s="24"/>
      <c r="C112" s="24"/>
      <c r="D112" s="24"/>
      <c r="E112" s="3"/>
      <c r="F112" s="14"/>
      <c r="G112" s="85"/>
      <c r="H112" s="85"/>
      <c r="I112" s="95"/>
      <c r="J112" s="71"/>
    </row>
    <row r="113" spans="1:10" ht="15.75">
      <c r="A113" s="123" t="s">
        <v>431</v>
      </c>
      <c r="B113" s="24"/>
      <c r="C113" s="24"/>
      <c r="D113" s="24"/>
      <c r="E113" s="3"/>
      <c r="F113" s="14"/>
      <c r="G113" s="85"/>
      <c r="H113" s="85"/>
      <c r="I113" s="95"/>
      <c r="J113" s="5"/>
    </row>
    <row r="114" spans="1:10" ht="15.75">
      <c r="A114" s="173" t="s">
        <v>432</v>
      </c>
      <c r="B114" s="24"/>
      <c r="C114" s="24" t="s">
        <v>228</v>
      </c>
      <c r="D114" s="24" t="s">
        <v>229</v>
      </c>
      <c r="E114" s="266">
        <v>1.5</v>
      </c>
      <c r="F114" s="14">
        <f>+C154</f>
        <v>4.38</v>
      </c>
      <c r="H114" s="25">
        <f>E114*F114</f>
        <v>6.57</v>
      </c>
      <c r="I114" s="95">
        <f>E114*F114</f>
        <v>6.57</v>
      </c>
      <c r="J114" s="5"/>
    </row>
    <row r="115" spans="1:118" s="108" customFormat="1" ht="16.5" thickBot="1">
      <c r="A115" s="90"/>
      <c r="B115" s="28"/>
      <c r="C115" s="28"/>
      <c r="D115" s="28"/>
      <c r="E115" s="8"/>
      <c r="F115" s="10"/>
      <c r="G115" s="67">
        <v>0</v>
      </c>
      <c r="H115" s="252">
        <f>E114*F114</f>
        <v>6.57</v>
      </c>
      <c r="I115" s="96"/>
      <c r="J115" s="1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</row>
    <row r="116" spans="1:10" ht="16.5" thickTop="1">
      <c r="A116" s="122">
        <v>3.18</v>
      </c>
      <c r="B116" s="24"/>
      <c r="C116" s="24"/>
      <c r="D116" s="24"/>
      <c r="E116" s="3"/>
      <c r="F116" s="14"/>
      <c r="G116" s="85"/>
      <c r="H116" s="85"/>
      <c r="I116" s="95"/>
      <c r="J116" s="71"/>
    </row>
    <row r="117" spans="1:10" ht="15.75">
      <c r="A117" s="123" t="s">
        <v>433</v>
      </c>
      <c r="B117" s="24"/>
      <c r="C117" s="24"/>
      <c r="D117" s="24"/>
      <c r="E117" s="3"/>
      <c r="F117" s="14"/>
      <c r="G117" s="85"/>
      <c r="H117" s="85"/>
      <c r="I117" s="95"/>
      <c r="J117" s="5"/>
    </row>
    <row r="118" spans="1:10" ht="15.75">
      <c r="A118" s="123" t="s">
        <v>434</v>
      </c>
      <c r="B118" s="24"/>
      <c r="C118" s="24"/>
      <c r="D118" s="24"/>
      <c r="E118" s="3"/>
      <c r="F118" s="14"/>
      <c r="G118" s="85"/>
      <c r="H118" s="85"/>
      <c r="I118" s="95"/>
      <c r="J118" s="5"/>
    </row>
    <row r="119" spans="1:10" ht="15.75">
      <c r="A119" s="174" t="s">
        <v>227</v>
      </c>
      <c r="B119" s="24"/>
      <c r="C119" s="24" t="s">
        <v>228</v>
      </c>
      <c r="D119" s="24" t="s">
        <v>229</v>
      </c>
      <c r="E119" s="266">
        <v>0.6</v>
      </c>
      <c r="F119" s="14">
        <f>+C154</f>
        <v>4.38</v>
      </c>
      <c r="H119" s="25">
        <f>E119*F119</f>
        <v>2.6279999999999997</v>
      </c>
      <c r="I119" s="95">
        <f>E119*F119</f>
        <v>2.6279999999999997</v>
      </c>
      <c r="J119" s="5"/>
    </row>
    <row r="120" spans="1:118" s="108" customFormat="1" ht="16.5" thickBot="1">
      <c r="A120" s="90"/>
      <c r="B120" s="28"/>
      <c r="C120" s="28"/>
      <c r="D120" s="28"/>
      <c r="E120" s="8"/>
      <c r="F120" s="10"/>
      <c r="G120" s="67">
        <v>0</v>
      </c>
      <c r="H120" s="252">
        <f>E119*F119</f>
        <v>2.6279999999999997</v>
      </c>
      <c r="I120" s="96"/>
      <c r="J120" s="1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</row>
    <row r="121" spans="1:10" ht="16.5" thickTop="1">
      <c r="A121" s="122">
        <v>3.19</v>
      </c>
      <c r="B121" s="24"/>
      <c r="C121" s="24"/>
      <c r="D121" s="24"/>
      <c r="E121" s="3"/>
      <c r="F121" s="14"/>
      <c r="G121" s="85"/>
      <c r="H121" s="85"/>
      <c r="I121" s="95"/>
      <c r="J121" s="71"/>
    </row>
    <row r="122" spans="1:10" ht="15.75">
      <c r="A122" s="123" t="s">
        <v>435</v>
      </c>
      <c r="B122" s="24"/>
      <c r="C122" s="24"/>
      <c r="D122" s="24"/>
      <c r="E122" s="3"/>
      <c r="F122" s="14"/>
      <c r="G122" s="85"/>
      <c r="H122" s="85"/>
      <c r="I122" s="95"/>
      <c r="J122" s="5"/>
    </row>
    <row r="123" spans="1:10" ht="15.75">
      <c r="A123" s="173" t="s">
        <v>436</v>
      </c>
      <c r="B123" s="24"/>
      <c r="C123" s="24" t="s">
        <v>228</v>
      </c>
      <c r="D123" s="24" t="s">
        <v>229</v>
      </c>
      <c r="E123" s="3">
        <v>0.3</v>
      </c>
      <c r="F123" s="14">
        <f>+C154</f>
        <v>4.38</v>
      </c>
      <c r="H123" s="25">
        <f>E123*F123</f>
        <v>1.3139999999999998</v>
      </c>
      <c r="I123" s="95">
        <f>E123*F123</f>
        <v>1.3139999999999998</v>
      </c>
      <c r="J123" s="5"/>
    </row>
    <row r="124" spans="1:118" s="108" customFormat="1" ht="16.5" thickBot="1">
      <c r="A124" s="90"/>
      <c r="B124" s="28"/>
      <c r="C124" s="28"/>
      <c r="D124" s="28"/>
      <c r="E124" s="8"/>
      <c r="F124" s="10"/>
      <c r="G124" s="67">
        <v>0</v>
      </c>
      <c r="H124" s="252">
        <f>E123*F123</f>
        <v>1.3139999999999998</v>
      </c>
      <c r="I124" s="96"/>
      <c r="J124" s="1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</row>
    <row r="125" spans="1:10" ht="16.5" thickTop="1">
      <c r="A125" s="129">
        <v>3.2</v>
      </c>
      <c r="B125" s="24"/>
      <c r="C125" s="24"/>
      <c r="D125" s="24"/>
      <c r="E125" s="3"/>
      <c r="F125" s="14"/>
      <c r="G125" s="85"/>
      <c r="H125" s="85"/>
      <c r="I125" s="95"/>
      <c r="J125" s="71"/>
    </row>
    <row r="126" spans="1:10" ht="15.75">
      <c r="A126" s="123" t="s">
        <v>437</v>
      </c>
      <c r="B126" s="24"/>
      <c r="C126" s="24"/>
      <c r="D126" s="24"/>
      <c r="E126" s="3"/>
      <c r="F126" s="14"/>
      <c r="G126" s="85"/>
      <c r="H126" s="85"/>
      <c r="I126" s="95"/>
      <c r="J126" s="5"/>
    </row>
    <row r="127" spans="1:10" ht="15.75">
      <c r="A127" s="173" t="s">
        <v>438</v>
      </c>
      <c r="B127" s="24"/>
      <c r="C127" s="24" t="s">
        <v>228</v>
      </c>
      <c r="D127" s="24" t="s">
        <v>229</v>
      </c>
      <c r="E127" s="3">
        <v>0.75</v>
      </c>
      <c r="F127" s="14">
        <f>+C154</f>
        <v>4.38</v>
      </c>
      <c r="H127" s="25">
        <f>E127*F127</f>
        <v>3.285</v>
      </c>
      <c r="I127" s="95">
        <f>E127*F127</f>
        <v>3.285</v>
      </c>
      <c r="J127" s="5"/>
    </row>
    <row r="128" spans="1:118" s="108" customFormat="1" ht="16.5" thickBot="1">
      <c r="A128" s="90"/>
      <c r="B128" s="28"/>
      <c r="C128" s="28"/>
      <c r="D128" s="28"/>
      <c r="E128" s="8"/>
      <c r="F128" s="10"/>
      <c r="G128" s="67">
        <v>0</v>
      </c>
      <c r="H128" s="252">
        <f>E127*F127</f>
        <v>3.285</v>
      </c>
      <c r="I128" s="96"/>
      <c r="J128" s="1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</row>
    <row r="129" spans="1:10" ht="16.5" thickTop="1">
      <c r="A129" s="122">
        <v>3.21</v>
      </c>
      <c r="B129" s="24"/>
      <c r="C129" s="24"/>
      <c r="D129" s="24"/>
      <c r="E129" s="3"/>
      <c r="F129" s="14"/>
      <c r="G129" s="85"/>
      <c r="H129" s="85"/>
      <c r="I129" s="95"/>
      <c r="J129" s="71"/>
    </row>
    <row r="130" spans="1:10" ht="15.75">
      <c r="A130" s="123" t="s">
        <v>439</v>
      </c>
      <c r="B130" s="24"/>
      <c r="C130" s="24"/>
      <c r="D130" s="24"/>
      <c r="E130" s="3"/>
      <c r="F130" s="14"/>
      <c r="G130" s="85"/>
      <c r="H130" s="85"/>
      <c r="I130" s="95"/>
      <c r="J130" s="5"/>
    </row>
    <row r="131" spans="1:10" ht="15.75">
      <c r="A131" s="172" t="s">
        <v>440</v>
      </c>
      <c r="B131" s="24"/>
      <c r="C131" s="24" t="s">
        <v>228</v>
      </c>
      <c r="D131" s="24" t="s">
        <v>229</v>
      </c>
      <c r="E131" s="266">
        <v>1.3</v>
      </c>
      <c r="F131" s="14">
        <f>+C154</f>
        <v>4.38</v>
      </c>
      <c r="H131" s="25">
        <f>E131*F131</f>
        <v>5.694</v>
      </c>
      <c r="I131" s="95">
        <f>E131*F131</f>
        <v>5.694</v>
      </c>
      <c r="J131" s="5"/>
    </row>
    <row r="132" spans="1:118" s="108" customFormat="1" ht="16.5" thickBot="1">
      <c r="A132" s="90"/>
      <c r="B132" s="28"/>
      <c r="C132" s="28"/>
      <c r="D132" s="28"/>
      <c r="E132" s="8"/>
      <c r="F132" s="10"/>
      <c r="G132" s="67">
        <v>0</v>
      </c>
      <c r="H132" s="252">
        <f>E131*F131</f>
        <v>5.694</v>
      </c>
      <c r="I132" s="96"/>
      <c r="J132" s="1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</row>
    <row r="133" spans="1:10" ht="16.5" thickTop="1">
      <c r="A133" s="122">
        <v>3.22</v>
      </c>
      <c r="B133" s="24"/>
      <c r="C133" s="24"/>
      <c r="D133" s="24"/>
      <c r="E133" s="3"/>
      <c r="F133" s="14"/>
      <c r="G133" s="85"/>
      <c r="H133" s="85"/>
      <c r="I133" s="95"/>
      <c r="J133" s="71"/>
    </row>
    <row r="134" spans="1:10" ht="15.75">
      <c r="A134" s="123" t="s">
        <v>441</v>
      </c>
      <c r="B134" s="24"/>
      <c r="C134" s="24"/>
      <c r="D134" s="24"/>
      <c r="E134" s="3"/>
      <c r="F134" s="14"/>
      <c r="G134" s="85"/>
      <c r="H134" s="85"/>
      <c r="I134" s="95"/>
      <c r="J134" s="5"/>
    </row>
    <row r="135" spans="1:10" ht="15.75">
      <c r="A135" s="173" t="s">
        <v>436</v>
      </c>
      <c r="B135" s="24"/>
      <c r="C135" s="24" t="s">
        <v>228</v>
      </c>
      <c r="D135" s="24" t="s">
        <v>229</v>
      </c>
      <c r="E135" s="266">
        <v>2</v>
      </c>
      <c r="F135" s="14">
        <f>+C154</f>
        <v>4.38</v>
      </c>
      <c r="H135" s="271">
        <f>E135*F135</f>
        <v>8.76</v>
      </c>
      <c r="I135" s="269">
        <f>E135*F135</f>
        <v>8.76</v>
      </c>
      <c r="J135" s="5"/>
    </row>
    <row r="136" spans="1:118" s="108" customFormat="1" ht="16.5" thickBot="1">
      <c r="A136" s="90"/>
      <c r="B136" s="28"/>
      <c r="C136" s="28"/>
      <c r="D136" s="28"/>
      <c r="E136" s="8"/>
      <c r="F136" s="10"/>
      <c r="G136" s="67">
        <v>0</v>
      </c>
      <c r="H136" s="252">
        <f>E135*F135</f>
        <v>8.76</v>
      </c>
      <c r="I136" s="96"/>
      <c r="J136" s="1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</row>
    <row r="137" spans="1:10" ht="16.5" thickTop="1">
      <c r="A137" s="122">
        <v>3.23</v>
      </c>
      <c r="B137" s="24"/>
      <c r="C137" s="24"/>
      <c r="D137" s="24"/>
      <c r="E137" s="3"/>
      <c r="F137" s="14"/>
      <c r="G137" s="85"/>
      <c r="H137" s="85"/>
      <c r="I137" s="95"/>
      <c r="J137" s="71"/>
    </row>
    <row r="138" spans="1:10" ht="15.75">
      <c r="A138" s="123" t="s">
        <v>442</v>
      </c>
      <c r="B138" s="24"/>
      <c r="C138" s="24"/>
      <c r="D138" s="24"/>
      <c r="E138" s="3"/>
      <c r="F138" s="14"/>
      <c r="G138" s="85"/>
      <c r="H138" s="85"/>
      <c r="I138" s="95"/>
      <c r="J138" s="5"/>
    </row>
    <row r="139" spans="1:10" ht="15.75">
      <c r="A139" s="123" t="s">
        <v>443</v>
      </c>
      <c r="B139" s="24"/>
      <c r="C139" s="24"/>
      <c r="D139" s="24"/>
      <c r="E139" s="3"/>
      <c r="F139" s="14"/>
      <c r="G139" s="85"/>
      <c r="H139" s="85"/>
      <c r="I139" s="95"/>
      <c r="J139" s="5"/>
    </row>
    <row r="140" spans="1:10" ht="15.75">
      <c r="A140" s="174" t="s">
        <v>227</v>
      </c>
      <c r="B140" s="24"/>
      <c r="C140" s="24" t="s">
        <v>228</v>
      </c>
      <c r="D140" s="24" t="s">
        <v>229</v>
      </c>
      <c r="E140" s="3">
        <v>1.85</v>
      </c>
      <c r="F140" s="14">
        <f>+C154</f>
        <v>4.38</v>
      </c>
      <c r="H140" s="25">
        <f>E140*F140</f>
        <v>8.103</v>
      </c>
      <c r="I140" s="95">
        <f>E140*F140</f>
        <v>8.103</v>
      </c>
      <c r="J140" s="5"/>
    </row>
    <row r="141" spans="1:118" s="108" customFormat="1" ht="16.5" thickBot="1">
      <c r="A141" s="90"/>
      <c r="B141" s="28"/>
      <c r="C141" s="28"/>
      <c r="D141" s="28"/>
      <c r="E141" s="8"/>
      <c r="F141" s="10"/>
      <c r="G141" s="67">
        <v>0</v>
      </c>
      <c r="H141" s="252">
        <f>E140*F140</f>
        <v>8.103</v>
      </c>
      <c r="I141" s="96"/>
      <c r="J141" s="1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</row>
    <row r="142" spans="1:10" ht="16.5" thickTop="1">
      <c r="A142" s="122">
        <v>3.24</v>
      </c>
      <c r="B142" s="24"/>
      <c r="C142" s="24"/>
      <c r="D142" s="24"/>
      <c r="E142" s="3"/>
      <c r="F142" s="14"/>
      <c r="G142" s="85"/>
      <c r="H142" s="85"/>
      <c r="I142" s="95"/>
      <c r="J142" s="71"/>
    </row>
    <row r="143" spans="1:10" ht="15.75">
      <c r="A143" s="173" t="s">
        <v>444</v>
      </c>
      <c r="B143" s="24"/>
      <c r="C143" s="24"/>
      <c r="D143" s="24"/>
      <c r="E143" s="3"/>
      <c r="F143" s="14"/>
      <c r="G143" s="85"/>
      <c r="H143" s="85"/>
      <c r="I143" s="95"/>
      <c r="J143" s="5"/>
    </row>
    <row r="144" spans="1:10" ht="15.75">
      <c r="A144" s="173" t="s">
        <v>445</v>
      </c>
      <c r="B144" s="24"/>
      <c r="C144" s="24" t="s">
        <v>228</v>
      </c>
      <c r="D144" s="24" t="s">
        <v>229</v>
      </c>
      <c r="E144" s="266">
        <v>2.4</v>
      </c>
      <c r="F144" s="14">
        <f>+C154</f>
        <v>4.38</v>
      </c>
      <c r="H144" s="25">
        <f>E144*F144</f>
        <v>10.511999999999999</v>
      </c>
      <c r="I144" s="95">
        <f>E144*F144</f>
        <v>10.511999999999999</v>
      </c>
      <c r="J144" s="5"/>
    </row>
    <row r="145" spans="1:118" s="108" customFormat="1" ht="16.5" thickBot="1">
      <c r="A145" s="90"/>
      <c r="B145" s="28"/>
      <c r="C145" s="28"/>
      <c r="D145" s="28"/>
      <c r="E145" s="8"/>
      <c r="F145" s="10"/>
      <c r="G145" s="67">
        <v>0</v>
      </c>
      <c r="H145" s="252">
        <f>E144*F144</f>
        <v>10.511999999999999</v>
      </c>
      <c r="I145" s="96"/>
      <c r="J145" s="1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</row>
    <row r="146" spans="1:10" ht="16.5" thickTop="1">
      <c r="A146" s="122">
        <v>3.25</v>
      </c>
      <c r="B146" s="24"/>
      <c r="C146" s="24"/>
      <c r="D146" s="24"/>
      <c r="E146" s="3"/>
      <c r="F146" s="14"/>
      <c r="G146" s="85"/>
      <c r="H146" s="85"/>
      <c r="I146" s="95"/>
      <c r="J146" s="71"/>
    </row>
    <row r="147" spans="1:10" ht="15.75">
      <c r="A147" s="173" t="s">
        <v>446</v>
      </c>
      <c r="B147" s="24"/>
      <c r="C147" s="24"/>
      <c r="D147" s="24"/>
      <c r="E147" s="3"/>
      <c r="F147" s="14"/>
      <c r="G147" s="85"/>
      <c r="H147" s="85"/>
      <c r="I147" s="95"/>
      <c r="J147" s="5"/>
    </row>
    <row r="148" spans="1:118" s="1" customFormat="1" ht="15.75">
      <c r="A148" s="172" t="s">
        <v>445</v>
      </c>
      <c r="B148" s="24"/>
      <c r="C148" s="24" t="s">
        <v>228</v>
      </c>
      <c r="D148" s="24" t="s">
        <v>229</v>
      </c>
      <c r="E148" s="266">
        <v>1.1</v>
      </c>
      <c r="F148" s="14">
        <f>+C154</f>
        <v>4.38</v>
      </c>
      <c r="H148" s="25">
        <f>E148*F148</f>
        <v>4.8180000000000005</v>
      </c>
      <c r="I148" s="95">
        <f>E148*F148</f>
        <v>4.8180000000000005</v>
      </c>
      <c r="J148" s="5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</row>
    <row r="149" spans="1:118" s="131" customFormat="1" ht="16.5" thickBot="1">
      <c r="A149" s="247"/>
      <c r="B149" s="34"/>
      <c r="C149" s="34"/>
      <c r="D149" s="34"/>
      <c r="E149" s="18"/>
      <c r="F149" s="19"/>
      <c r="G149" s="66">
        <v>0</v>
      </c>
      <c r="H149" s="253">
        <f>E148*F148</f>
        <v>4.8180000000000005</v>
      </c>
      <c r="I149" s="94"/>
      <c r="J149" s="2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</row>
    <row r="150" spans="1:10" ht="16.5" thickTop="1">
      <c r="A150" s="21"/>
      <c r="B150" s="40"/>
      <c r="C150" s="40"/>
      <c r="D150" s="40"/>
      <c r="E150" s="21"/>
      <c r="F150" s="21"/>
      <c r="G150" s="21"/>
      <c r="H150" s="21"/>
      <c r="I150" s="21"/>
      <c r="J150" s="21"/>
    </row>
    <row r="151" spans="2:4" s="21" customFormat="1" ht="15.75">
      <c r="B151" s="40"/>
      <c r="C151" s="40"/>
      <c r="D151" s="40"/>
    </row>
    <row r="152" spans="2:4" s="21" customFormat="1" ht="15.75">
      <c r="B152" s="40"/>
      <c r="C152" s="40"/>
      <c r="D152" s="40"/>
    </row>
    <row r="153" spans="2:4" s="21" customFormat="1" ht="15.75">
      <c r="B153" s="301"/>
      <c r="C153" s="40"/>
      <c r="D153" s="40"/>
    </row>
    <row r="154" spans="2:4" s="21" customFormat="1" ht="15.75">
      <c r="B154" s="301" t="s">
        <v>229</v>
      </c>
      <c r="C154" s="40">
        <v>4.38</v>
      </c>
      <c r="D154" s="40"/>
    </row>
    <row r="155" spans="2:4" s="21" customFormat="1" ht="15.75">
      <c r="B155" s="40"/>
      <c r="C155" s="40"/>
      <c r="D155" s="40"/>
    </row>
    <row r="156" spans="2:4" s="21" customFormat="1" ht="15.75">
      <c r="B156" s="40"/>
      <c r="C156" s="40"/>
      <c r="D156" s="40"/>
    </row>
    <row r="157" spans="2:4" s="21" customFormat="1" ht="15.75">
      <c r="B157" s="40"/>
      <c r="C157" s="40"/>
      <c r="D157" s="40"/>
    </row>
    <row r="158" spans="2:4" s="21" customFormat="1" ht="15.75">
      <c r="B158" s="40"/>
      <c r="C158" s="40"/>
      <c r="D158" s="40"/>
    </row>
    <row r="159" spans="2:4" s="21" customFormat="1" ht="15.75">
      <c r="B159" s="40"/>
      <c r="C159" s="40"/>
      <c r="D159" s="40"/>
    </row>
    <row r="160" spans="2:4" s="21" customFormat="1" ht="15.75">
      <c r="B160" s="40"/>
      <c r="C160" s="40"/>
      <c r="D160" s="40"/>
    </row>
    <row r="161" spans="2:4" s="21" customFormat="1" ht="15.75">
      <c r="B161" s="40"/>
      <c r="C161" s="40"/>
      <c r="D161" s="40"/>
    </row>
    <row r="162" spans="2:4" s="21" customFormat="1" ht="15.75">
      <c r="B162" s="40"/>
      <c r="C162" s="40"/>
      <c r="D162" s="40"/>
    </row>
    <row r="163" spans="2:4" s="21" customFormat="1" ht="15.75">
      <c r="B163" s="40"/>
      <c r="C163" s="40"/>
      <c r="D163" s="40"/>
    </row>
    <row r="164" spans="2:4" s="21" customFormat="1" ht="15.75">
      <c r="B164" s="40"/>
      <c r="C164" s="40"/>
      <c r="D164" s="40"/>
    </row>
    <row r="165" spans="2:4" s="21" customFormat="1" ht="15.75">
      <c r="B165" s="40"/>
      <c r="C165" s="40"/>
      <c r="D165" s="40"/>
    </row>
    <row r="166" spans="2:4" s="21" customFormat="1" ht="15.75">
      <c r="B166" s="40"/>
      <c r="C166" s="40"/>
      <c r="D166" s="40"/>
    </row>
    <row r="167" spans="2:4" s="21" customFormat="1" ht="15.75">
      <c r="B167" s="40"/>
      <c r="C167" s="40"/>
      <c r="D167" s="40"/>
    </row>
    <row r="168" spans="2:4" s="21" customFormat="1" ht="15.75">
      <c r="B168" s="40"/>
      <c r="C168" s="40"/>
      <c r="D168" s="40"/>
    </row>
    <row r="169" spans="2:4" s="21" customFormat="1" ht="15.75">
      <c r="B169" s="40"/>
      <c r="C169" s="40"/>
      <c r="D169" s="40"/>
    </row>
    <row r="170" spans="2:4" s="21" customFormat="1" ht="15.75">
      <c r="B170" s="40"/>
      <c r="C170" s="40"/>
      <c r="D170" s="40"/>
    </row>
    <row r="171" spans="2:4" s="21" customFormat="1" ht="15.75">
      <c r="B171" s="40"/>
      <c r="C171" s="40"/>
      <c r="D171" s="40"/>
    </row>
    <row r="172" spans="2:4" s="21" customFormat="1" ht="15.75">
      <c r="B172" s="40"/>
      <c r="C172" s="40"/>
      <c r="D172" s="40"/>
    </row>
    <row r="173" spans="2:4" s="21" customFormat="1" ht="15.75">
      <c r="B173" s="40"/>
      <c r="C173" s="40"/>
      <c r="D173" s="40"/>
    </row>
    <row r="174" spans="2:4" s="21" customFormat="1" ht="15.75">
      <c r="B174" s="40"/>
      <c r="C174" s="40"/>
      <c r="D174" s="40"/>
    </row>
    <row r="175" spans="2:4" s="21" customFormat="1" ht="15.75">
      <c r="B175" s="40"/>
      <c r="C175" s="40"/>
      <c r="D175" s="40"/>
    </row>
    <row r="176" spans="2:4" s="21" customFormat="1" ht="15.75">
      <c r="B176" s="40"/>
      <c r="C176" s="40"/>
      <c r="D176" s="40"/>
    </row>
    <row r="177" spans="2:4" s="21" customFormat="1" ht="15.75">
      <c r="B177" s="40"/>
      <c r="C177" s="40"/>
      <c r="D177" s="40"/>
    </row>
    <row r="178" spans="2:4" s="21" customFormat="1" ht="15.75">
      <c r="B178" s="40"/>
      <c r="C178" s="40"/>
      <c r="D178" s="40"/>
    </row>
    <row r="179" spans="2:4" s="21" customFormat="1" ht="15.75">
      <c r="B179" s="40"/>
      <c r="C179" s="40"/>
      <c r="D179" s="40"/>
    </row>
    <row r="180" spans="2:4" s="21" customFormat="1" ht="15.75">
      <c r="B180" s="40"/>
      <c r="C180" s="40"/>
      <c r="D180" s="40"/>
    </row>
    <row r="181" spans="2:4" s="21" customFormat="1" ht="15.75">
      <c r="B181" s="40"/>
      <c r="C181" s="40"/>
      <c r="D181" s="40"/>
    </row>
    <row r="182" spans="2:4" s="21" customFormat="1" ht="15.75">
      <c r="B182" s="40"/>
      <c r="C182" s="40"/>
      <c r="D182" s="40"/>
    </row>
    <row r="183" spans="2:4" s="21" customFormat="1" ht="15.75">
      <c r="B183" s="40"/>
      <c r="C183" s="40"/>
      <c r="D183" s="40"/>
    </row>
    <row r="184" spans="2:4" s="21" customFormat="1" ht="15.75">
      <c r="B184" s="40"/>
      <c r="C184" s="40"/>
      <c r="D184" s="40"/>
    </row>
    <row r="185" spans="2:4" s="21" customFormat="1" ht="15.75">
      <c r="B185" s="40"/>
      <c r="C185" s="40"/>
      <c r="D185" s="40"/>
    </row>
    <row r="186" spans="2:4" s="21" customFormat="1" ht="15.75">
      <c r="B186" s="40"/>
      <c r="C186" s="40"/>
      <c r="D186" s="40"/>
    </row>
    <row r="187" spans="2:4" s="21" customFormat="1" ht="15.75">
      <c r="B187" s="40"/>
      <c r="C187" s="40"/>
      <c r="D187" s="40"/>
    </row>
    <row r="188" spans="2:4" s="21" customFormat="1" ht="15.75">
      <c r="B188" s="40"/>
      <c r="C188" s="40"/>
      <c r="D188" s="40"/>
    </row>
    <row r="189" spans="2:4" s="21" customFormat="1" ht="15.75">
      <c r="B189" s="40"/>
      <c r="C189" s="40"/>
      <c r="D189" s="40"/>
    </row>
    <row r="190" spans="2:4" s="21" customFormat="1" ht="15.75">
      <c r="B190" s="40"/>
      <c r="C190" s="40"/>
      <c r="D190" s="40"/>
    </row>
    <row r="191" spans="2:4" s="21" customFormat="1" ht="15.75">
      <c r="B191" s="40"/>
      <c r="C191" s="40"/>
      <c r="D191" s="40"/>
    </row>
    <row r="192" spans="2:4" s="21" customFormat="1" ht="15.75">
      <c r="B192" s="40"/>
      <c r="C192" s="40"/>
      <c r="D192" s="40"/>
    </row>
    <row r="193" spans="2:4" s="21" customFormat="1" ht="15.75">
      <c r="B193" s="40"/>
      <c r="C193" s="40"/>
      <c r="D193" s="40"/>
    </row>
    <row r="194" spans="2:4" s="21" customFormat="1" ht="15.75">
      <c r="B194" s="40"/>
      <c r="C194" s="40"/>
      <c r="D194" s="40"/>
    </row>
    <row r="195" spans="2:4" s="21" customFormat="1" ht="15.75">
      <c r="B195" s="40"/>
      <c r="C195" s="40"/>
      <c r="D195" s="40"/>
    </row>
    <row r="196" spans="2:4" s="21" customFormat="1" ht="15.75">
      <c r="B196" s="40"/>
      <c r="C196" s="40"/>
      <c r="D196" s="40"/>
    </row>
    <row r="197" spans="2:4" s="21" customFormat="1" ht="15.75">
      <c r="B197" s="40"/>
      <c r="C197" s="40"/>
      <c r="D197" s="40"/>
    </row>
    <row r="198" spans="2:4" s="21" customFormat="1" ht="15.75">
      <c r="B198" s="40"/>
      <c r="C198" s="40"/>
      <c r="D198" s="40"/>
    </row>
    <row r="199" spans="2:4" s="21" customFormat="1" ht="15.75">
      <c r="B199" s="40"/>
      <c r="C199" s="40"/>
      <c r="D199" s="40"/>
    </row>
    <row r="200" spans="2:4" s="21" customFormat="1" ht="15.75">
      <c r="B200" s="40"/>
      <c r="C200" s="40"/>
      <c r="D200" s="40"/>
    </row>
    <row r="201" spans="2:4" s="21" customFormat="1" ht="15.75">
      <c r="B201" s="40"/>
      <c r="C201" s="40"/>
      <c r="D201" s="40"/>
    </row>
    <row r="202" spans="2:4" s="21" customFormat="1" ht="15.75">
      <c r="B202" s="40"/>
      <c r="C202" s="40"/>
      <c r="D202" s="40"/>
    </row>
    <row r="203" spans="2:4" s="21" customFormat="1" ht="15.75">
      <c r="B203" s="40"/>
      <c r="C203" s="40"/>
      <c r="D203" s="40"/>
    </row>
    <row r="204" spans="2:4" s="21" customFormat="1" ht="15.75">
      <c r="B204" s="40"/>
      <c r="C204" s="40"/>
      <c r="D204" s="40"/>
    </row>
    <row r="205" spans="2:4" ht="15.75">
      <c r="B205" s="24"/>
      <c r="C205" s="24"/>
      <c r="D205" s="24"/>
    </row>
    <row r="206" spans="2:4" ht="15.75">
      <c r="B206" s="24"/>
      <c r="C206" s="24"/>
      <c r="D206" s="24"/>
    </row>
    <row r="207" spans="2:4" ht="15.75">
      <c r="B207" s="24"/>
      <c r="C207" s="24"/>
      <c r="D207" s="24"/>
    </row>
    <row r="208" spans="2:4" ht="15.75">
      <c r="B208" s="24"/>
      <c r="C208" s="24"/>
      <c r="D208" s="24"/>
    </row>
    <row r="209" spans="2:4" ht="15.75">
      <c r="B209" s="24"/>
      <c r="C209" s="24"/>
      <c r="D209" s="24"/>
    </row>
    <row r="210" spans="2:4" ht="15.75">
      <c r="B210" s="24"/>
      <c r="C210" s="24"/>
      <c r="D210" s="24"/>
    </row>
    <row r="211" spans="2:4" ht="15.75">
      <c r="B211" s="24"/>
      <c r="C211" s="24"/>
      <c r="D211" s="24"/>
    </row>
    <row r="212" spans="2:4" ht="15.75">
      <c r="B212" s="24"/>
      <c r="C212" s="24"/>
      <c r="D212" s="24"/>
    </row>
    <row r="213" spans="2:4" ht="15.75">
      <c r="B213" s="24"/>
      <c r="C213" s="24"/>
      <c r="D213" s="24"/>
    </row>
    <row r="214" spans="2:4" ht="15.75">
      <c r="B214" s="24"/>
      <c r="C214" s="24"/>
      <c r="D214" s="24"/>
    </row>
    <row r="215" spans="2:4" ht="15.75">
      <c r="B215" s="24"/>
      <c r="C215" s="24"/>
      <c r="D215" s="24"/>
    </row>
    <row r="216" spans="2:4" ht="15.75">
      <c r="B216" s="24"/>
      <c r="C216" s="24"/>
      <c r="D216" s="24"/>
    </row>
    <row r="217" spans="2:4" ht="15.75">
      <c r="B217" s="24"/>
      <c r="C217" s="24"/>
      <c r="D217" s="24"/>
    </row>
    <row r="218" spans="2:4" ht="15.75">
      <c r="B218" s="24"/>
      <c r="C218" s="24"/>
      <c r="D218" s="24"/>
    </row>
    <row r="219" spans="2:4" ht="15.75">
      <c r="B219" s="24"/>
      <c r="C219" s="24"/>
      <c r="D219" s="24"/>
    </row>
    <row r="220" spans="2:4" ht="15.75">
      <c r="B220" s="24"/>
      <c r="C220" s="24"/>
      <c r="D220" s="24"/>
    </row>
    <row r="221" spans="2:4" ht="15.75">
      <c r="B221" s="24"/>
      <c r="C221" s="24"/>
      <c r="D221" s="24"/>
    </row>
    <row r="222" spans="2:4" ht="15.75">
      <c r="B222" s="24"/>
      <c r="C222" s="24"/>
      <c r="D222" s="24"/>
    </row>
    <row r="223" spans="2:4" ht="15.75">
      <c r="B223" s="24"/>
      <c r="C223" s="24"/>
      <c r="D223" s="24"/>
    </row>
    <row r="224" spans="2:4" ht="15.75">
      <c r="B224" s="24"/>
      <c r="C224" s="24"/>
      <c r="D224" s="24"/>
    </row>
    <row r="225" spans="2:4" ht="15.75">
      <c r="B225" s="24"/>
      <c r="C225" s="24"/>
      <c r="D225" s="24"/>
    </row>
    <row r="226" spans="2:4" ht="15.75">
      <c r="B226" s="24"/>
      <c r="C226" s="24"/>
      <c r="D226" s="24"/>
    </row>
    <row r="227" spans="2:4" ht="15.75">
      <c r="B227" s="24"/>
      <c r="C227" s="24"/>
      <c r="D227" s="24"/>
    </row>
    <row r="228" spans="2:4" ht="15.75">
      <c r="B228" s="24"/>
      <c r="C228" s="24"/>
      <c r="D228" s="24"/>
    </row>
    <row r="229" spans="2:4" ht="15.75">
      <c r="B229" s="24"/>
      <c r="C229" s="24"/>
      <c r="D229" s="24"/>
    </row>
    <row r="230" spans="2:4" ht="15.75">
      <c r="B230" s="24"/>
      <c r="C230" s="24"/>
      <c r="D230" s="24"/>
    </row>
    <row r="231" spans="2:4" ht="15.75">
      <c r="B231" s="24"/>
      <c r="C231" s="24"/>
      <c r="D231" s="24"/>
    </row>
    <row r="232" spans="2:4" ht="15.75">
      <c r="B232" s="24"/>
      <c r="C232" s="24"/>
      <c r="D232" s="24"/>
    </row>
    <row r="233" spans="2:4" ht="15.75">
      <c r="B233" s="24"/>
      <c r="C233" s="24"/>
      <c r="D233" s="24"/>
    </row>
    <row r="234" spans="2:4" ht="15.75">
      <c r="B234" s="24"/>
      <c r="C234" s="24"/>
      <c r="D234" s="24"/>
    </row>
    <row r="235" spans="2:4" ht="15.75">
      <c r="B235" s="24"/>
      <c r="C235" s="24"/>
      <c r="D235" s="24"/>
    </row>
    <row r="236" spans="2:4" ht="15.75">
      <c r="B236" s="24"/>
      <c r="C236" s="24"/>
      <c r="D236" s="24"/>
    </row>
    <row r="237" spans="2:4" ht="15.75">
      <c r="B237" s="24"/>
      <c r="C237" s="24"/>
      <c r="D237" s="24"/>
    </row>
    <row r="238" spans="2:4" ht="15.75">
      <c r="B238" s="24"/>
      <c r="C238" s="24"/>
      <c r="D238" s="24"/>
    </row>
    <row r="239" spans="2:4" ht="15.75">
      <c r="B239" s="24"/>
      <c r="C239" s="24"/>
      <c r="D239" s="24"/>
    </row>
    <row r="240" spans="2:4" ht="15.75">
      <c r="B240" s="24"/>
      <c r="C240" s="24"/>
      <c r="D240" s="24"/>
    </row>
    <row r="241" spans="2:4" ht="15.75">
      <c r="B241" s="24"/>
      <c r="C241" s="24"/>
      <c r="D241" s="24"/>
    </row>
    <row r="242" spans="2:4" ht="15.75">
      <c r="B242" s="24"/>
      <c r="C242" s="24"/>
      <c r="D242" s="24"/>
    </row>
    <row r="243" spans="2:4" ht="15.75">
      <c r="B243" s="24"/>
      <c r="C243" s="24"/>
      <c r="D243" s="24"/>
    </row>
    <row r="244" spans="2:4" ht="15.75">
      <c r="B244" s="24"/>
      <c r="C244" s="24"/>
      <c r="D244" s="24"/>
    </row>
    <row r="245" spans="2:4" ht="15.75">
      <c r="B245" s="24"/>
      <c r="C245" s="24"/>
      <c r="D245" s="24"/>
    </row>
    <row r="246" spans="2:4" ht="15.75">
      <c r="B246" s="24"/>
      <c r="C246" s="24"/>
      <c r="D246" s="24"/>
    </row>
    <row r="247" spans="2:4" ht="15.75">
      <c r="B247" s="24"/>
      <c r="C247" s="24"/>
      <c r="D247" s="24"/>
    </row>
    <row r="248" spans="2:4" ht="15.75">
      <c r="B248" s="24"/>
      <c r="C248" s="24"/>
      <c r="D248" s="24"/>
    </row>
    <row r="249" spans="2:4" ht="15.75">
      <c r="B249" s="24"/>
      <c r="C249" s="24"/>
      <c r="D249" s="24"/>
    </row>
    <row r="250" spans="2:4" ht="15.75">
      <c r="B250" s="24"/>
      <c r="C250" s="24"/>
      <c r="D250" s="24"/>
    </row>
    <row r="251" spans="2:4" ht="15.75">
      <c r="B251" s="24"/>
      <c r="C251" s="24"/>
      <c r="D251" s="24"/>
    </row>
    <row r="252" spans="2:4" ht="15.75">
      <c r="B252" s="24"/>
      <c r="C252" s="24"/>
      <c r="D252" s="24"/>
    </row>
    <row r="253" spans="2:4" ht="15.75">
      <c r="B253" s="24"/>
      <c r="C253" s="24"/>
      <c r="D253" s="24"/>
    </row>
    <row r="254" spans="2:4" ht="15.75">
      <c r="B254" s="24"/>
      <c r="C254" s="24"/>
      <c r="D254" s="24"/>
    </row>
    <row r="255" spans="2:4" ht="15.75">
      <c r="B255" s="24"/>
      <c r="C255" s="24"/>
      <c r="D255" s="24"/>
    </row>
    <row r="256" spans="2:4" ht="15.75">
      <c r="B256" s="24"/>
      <c r="C256" s="24"/>
      <c r="D256" s="24"/>
    </row>
    <row r="257" spans="2:4" ht="15.75">
      <c r="B257" s="24"/>
      <c r="C257" s="24"/>
      <c r="D257" s="24"/>
    </row>
    <row r="258" spans="2:4" ht="15.75">
      <c r="B258" s="24"/>
      <c r="C258" s="24"/>
      <c r="D258" s="24"/>
    </row>
    <row r="259" spans="2:4" ht="15.75">
      <c r="B259" s="24"/>
      <c r="C259" s="24"/>
      <c r="D259" s="24"/>
    </row>
    <row r="260" spans="2:4" ht="15.75">
      <c r="B260" s="24"/>
      <c r="C260" s="24"/>
      <c r="D260" s="24"/>
    </row>
    <row r="261" spans="2:4" ht="15.75">
      <c r="B261" s="24"/>
      <c r="C261" s="24"/>
      <c r="D261" s="24"/>
    </row>
    <row r="262" spans="2:4" ht="15.75">
      <c r="B262" s="24"/>
      <c r="C262" s="24"/>
      <c r="D262" s="24"/>
    </row>
    <row r="263" spans="2:4" ht="15.75">
      <c r="B263" s="24"/>
      <c r="C263" s="24"/>
      <c r="D263" s="24"/>
    </row>
    <row r="264" spans="2:4" ht="15.75">
      <c r="B264" s="24"/>
      <c r="C264" s="24"/>
      <c r="D264" s="24"/>
    </row>
    <row r="265" spans="2:4" ht="15.75">
      <c r="B265" s="24"/>
      <c r="C265" s="24"/>
      <c r="D265" s="24"/>
    </row>
    <row r="266" spans="2:4" ht="15.75">
      <c r="B266" s="24"/>
      <c r="C266" s="24"/>
      <c r="D266" s="24"/>
    </row>
    <row r="267" spans="2:4" ht="15.75">
      <c r="B267" s="24"/>
      <c r="C267" s="24"/>
      <c r="D267" s="24"/>
    </row>
    <row r="268" spans="2:4" ht="15.75">
      <c r="B268" s="24"/>
      <c r="C268" s="24"/>
      <c r="D268" s="24"/>
    </row>
    <row r="269" spans="2:4" ht="15.75">
      <c r="B269" s="24"/>
      <c r="C269" s="24"/>
      <c r="D269" s="24"/>
    </row>
    <row r="270" spans="2:4" ht="15.75">
      <c r="B270" s="24"/>
      <c r="C270" s="24"/>
      <c r="D270" s="24"/>
    </row>
    <row r="271" spans="2:4" ht="15.75">
      <c r="B271" s="24"/>
      <c r="C271" s="24"/>
      <c r="D271" s="24"/>
    </row>
    <row r="272" spans="2:4" ht="15.75">
      <c r="B272" s="24"/>
      <c r="C272" s="24"/>
      <c r="D272" s="24"/>
    </row>
    <row r="273" spans="2:4" ht="15.75">
      <c r="B273" s="24"/>
      <c r="C273" s="24"/>
      <c r="D273" s="24"/>
    </row>
    <row r="274" spans="2:4" ht="15.75">
      <c r="B274" s="24"/>
      <c r="C274" s="24"/>
      <c r="D274" s="24"/>
    </row>
    <row r="275" spans="2:4" ht="15.75">
      <c r="B275" s="24"/>
      <c r="C275" s="24"/>
      <c r="D275" s="24"/>
    </row>
    <row r="276" spans="2:4" ht="15.75">
      <c r="B276" s="24"/>
      <c r="C276" s="24"/>
      <c r="D276" s="24"/>
    </row>
    <row r="277" spans="2:4" ht="15.75">
      <c r="B277" s="24"/>
      <c r="C277" s="24"/>
      <c r="D277" s="24"/>
    </row>
    <row r="278" spans="2:4" ht="15.75">
      <c r="B278" s="24"/>
      <c r="C278" s="24"/>
      <c r="D278" s="24"/>
    </row>
    <row r="279" spans="2:4" ht="15.75">
      <c r="B279" s="24"/>
      <c r="C279" s="24"/>
      <c r="D279" s="24"/>
    </row>
    <row r="280" spans="2:4" ht="15.75">
      <c r="B280" s="24"/>
      <c r="C280" s="24"/>
      <c r="D280" s="24"/>
    </row>
    <row r="281" spans="2:4" ht="15.75">
      <c r="B281" s="24"/>
      <c r="C281" s="24"/>
      <c r="D281" s="24"/>
    </row>
    <row r="282" spans="2:4" ht="15.75">
      <c r="B282" s="24"/>
      <c r="C282" s="24"/>
      <c r="D282" s="24"/>
    </row>
    <row r="283" spans="2:4" ht="15.75">
      <c r="B283" s="24"/>
      <c r="C283" s="24"/>
      <c r="D283" s="24"/>
    </row>
    <row r="284" spans="2:4" ht="15.75">
      <c r="B284" s="24"/>
      <c r="C284" s="24"/>
      <c r="D284" s="24"/>
    </row>
    <row r="285" spans="2:4" ht="15.75">
      <c r="B285" s="24"/>
      <c r="C285" s="24"/>
      <c r="D285" s="24"/>
    </row>
    <row r="286" spans="2:4" ht="15.75">
      <c r="B286" s="24"/>
      <c r="C286" s="24"/>
      <c r="D286" s="24"/>
    </row>
    <row r="287" spans="2:4" ht="15.75">
      <c r="B287" s="24"/>
      <c r="C287" s="24"/>
      <c r="D287" s="24"/>
    </row>
    <row r="288" spans="2:4" ht="15.75">
      <c r="B288" s="24"/>
      <c r="C288" s="24"/>
      <c r="D288" s="24"/>
    </row>
    <row r="289" spans="2:4" ht="15.75">
      <c r="B289" s="24"/>
      <c r="C289" s="24"/>
      <c r="D289" s="24"/>
    </row>
    <row r="290" spans="2:4" ht="15.75">
      <c r="B290" s="24"/>
      <c r="C290" s="24"/>
      <c r="D290" s="24"/>
    </row>
    <row r="291" spans="2:4" ht="15.75">
      <c r="B291" s="24"/>
      <c r="C291" s="24"/>
      <c r="D291" s="24"/>
    </row>
    <row r="292" spans="2:4" ht="15.75">
      <c r="B292" s="24"/>
      <c r="C292" s="24"/>
      <c r="D292" s="24"/>
    </row>
    <row r="293" spans="2:4" ht="15.75">
      <c r="B293" s="24"/>
      <c r="C293" s="24"/>
      <c r="D293" s="24"/>
    </row>
    <row r="294" spans="2:4" ht="15.75">
      <c r="B294" s="24"/>
      <c r="C294" s="24"/>
      <c r="D294" s="24"/>
    </row>
    <row r="295" spans="2:4" ht="15.75">
      <c r="B295" s="24"/>
      <c r="C295" s="24"/>
      <c r="D295" s="24"/>
    </row>
    <row r="296" spans="2:4" ht="15.75">
      <c r="B296" s="24"/>
      <c r="C296" s="24"/>
      <c r="D296" s="24"/>
    </row>
    <row r="297" spans="2:4" ht="15.75">
      <c r="B297" s="24"/>
      <c r="C297" s="24"/>
      <c r="D297" s="24"/>
    </row>
    <row r="298" spans="2:4" ht="15.75">
      <c r="B298" s="24"/>
      <c r="C298" s="24"/>
      <c r="D298" s="24"/>
    </row>
    <row r="299" spans="2:4" ht="15.75">
      <c r="B299" s="24"/>
      <c r="C299" s="24"/>
      <c r="D299" s="24"/>
    </row>
    <row r="300" spans="2:4" ht="15.75">
      <c r="B300" s="24"/>
      <c r="C300" s="24"/>
      <c r="D300" s="24"/>
    </row>
    <row r="301" spans="2:4" ht="15.75">
      <c r="B301" s="24"/>
      <c r="C301" s="24"/>
      <c r="D301" s="24"/>
    </row>
    <row r="302" spans="2:4" ht="15.75">
      <c r="B302" s="24"/>
      <c r="C302" s="24"/>
      <c r="D302" s="24"/>
    </row>
    <row r="303" spans="2:4" ht="15.75">
      <c r="B303" s="24"/>
      <c r="C303" s="24"/>
      <c r="D303" s="24"/>
    </row>
    <row r="304" spans="2:4" ht="15.75">
      <c r="B304" s="24"/>
      <c r="C304" s="24"/>
      <c r="D304" s="24"/>
    </row>
    <row r="305" spans="2:4" ht="15.75">
      <c r="B305" s="24"/>
      <c r="C305" s="24"/>
      <c r="D305" s="24"/>
    </row>
    <row r="306" spans="2:4" ht="15.75">
      <c r="B306" s="24"/>
      <c r="C306" s="24"/>
      <c r="D306" s="24"/>
    </row>
    <row r="307" spans="2:4" ht="15.75">
      <c r="B307" s="24"/>
      <c r="C307" s="24"/>
      <c r="D307" s="24"/>
    </row>
    <row r="308" spans="2:4" ht="15.75">
      <c r="B308" s="24"/>
      <c r="C308" s="24"/>
      <c r="D308" s="24"/>
    </row>
    <row r="309" spans="2:4" ht="15.75">
      <c r="B309" s="24"/>
      <c r="C309" s="24"/>
      <c r="D309" s="24"/>
    </row>
    <row r="310" spans="2:4" ht="15.75">
      <c r="B310" s="24"/>
      <c r="C310" s="24"/>
      <c r="D310" s="24"/>
    </row>
    <row r="311" spans="2:4" ht="15.75">
      <c r="B311" s="24"/>
      <c r="C311" s="24"/>
      <c r="D311" s="24"/>
    </row>
    <row r="312" spans="2:4" ht="15.75">
      <c r="B312" s="24"/>
      <c r="C312" s="24"/>
      <c r="D312" s="24"/>
    </row>
    <row r="313" spans="2:4" ht="15.75">
      <c r="B313" s="24"/>
      <c r="C313" s="24"/>
      <c r="D313" s="24"/>
    </row>
    <row r="314" spans="2:4" ht="15.75">
      <c r="B314" s="24"/>
      <c r="C314" s="24"/>
      <c r="D314" s="24"/>
    </row>
    <row r="315" spans="2:4" ht="15.75">
      <c r="B315" s="24"/>
      <c r="C315" s="24"/>
      <c r="D315" s="24"/>
    </row>
    <row r="316" spans="2:4" ht="15.75">
      <c r="B316" s="24"/>
      <c r="C316" s="24"/>
      <c r="D316" s="24"/>
    </row>
    <row r="317" spans="2:4" ht="15.75">
      <c r="B317" s="24"/>
      <c r="C317" s="24"/>
      <c r="D317" s="24"/>
    </row>
    <row r="318" spans="2:4" ht="15.75">
      <c r="B318" s="24"/>
      <c r="C318" s="24"/>
      <c r="D318" s="24"/>
    </row>
    <row r="319" spans="2:4" ht="15.75">
      <c r="B319" s="24"/>
      <c r="C319" s="24"/>
      <c r="D319" s="24"/>
    </row>
    <row r="320" spans="2:4" ht="15.75">
      <c r="B320" s="24"/>
      <c r="C320" s="24"/>
      <c r="D320" s="24"/>
    </row>
    <row r="321" spans="2:4" ht="15.75">
      <c r="B321" s="24"/>
      <c r="C321" s="24"/>
      <c r="D321" s="24"/>
    </row>
    <row r="322" spans="2:4" ht="15.75">
      <c r="B322" s="24"/>
      <c r="C322" s="24"/>
      <c r="D322" s="24"/>
    </row>
    <row r="323" spans="2:4" ht="15.75">
      <c r="B323" s="24"/>
      <c r="C323" s="24"/>
      <c r="D323" s="24"/>
    </row>
    <row r="324" spans="2:4" ht="15.75">
      <c r="B324" s="24"/>
      <c r="C324" s="24"/>
      <c r="D324" s="24"/>
    </row>
    <row r="325" spans="2:4" ht="15.75">
      <c r="B325" s="24"/>
      <c r="C325" s="24"/>
      <c r="D325" s="24"/>
    </row>
    <row r="326" spans="2:4" ht="15.75">
      <c r="B326" s="24"/>
      <c r="C326" s="24"/>
      <c r="D326" s="24"/>
    </row>
    <row r="327" spans="2:4" ht="15.75">
      <c r="B327" s="24"/>
      <c r="C327" s="24"/>
      <c r="D327" s="24"/>
    </row>
    <row r="328" spans="2:4" ht="15.75">
      <c r="B328" s="24"/>
      <c r="C328" s="24"/>
      <c r="D328" s="24"/>
    </row>
    <row r="329" spans="2:4" ht="15.75">
      <c r="B329" s="24"/>
      <c r="C329" s="24"/>
      <c r="D329" s="24"/>
    </row>
    <row r="330" spans="2:4" ht="15.75">
      <c r="B330" s="24"/>
      <c r="C330" s="24"/>
      <c r="D330" s="24"/>
    </row>
    <row r="331" spans="2:4" ht="15.75">
      <c r="B331" s="24"/>
      <c r="C331" s="24"/>
      <c r="D331" s="24"/>
    </row>
    <row r="332" spans="2:4" ht="15.75">
      <c r="B332" s="24"/>
      <c r="C332" s="24"/>
      <c r="D332" s="24"/>
    </row>
    <row r="333" spans="2:4" ht="15.75">
      <c r="B333" s="24"/>
      <c r="C333" s="24"/>
      <c r="D333" s="24"/>
    </row>
    <row r="334" spans="2:4" ht="15.75">
      <c r="B334" s="24"/>
      <c r="C334" s="24"/>
      <c r="D334" s="24"/>
    </row>
    <row r="335" spans="2:4" ht="15.75">
      <c r="B335" s="24"/>
      <c r="C335" s="24"/>
      <c r="D335" s="24"/>
    </row>
    <row r="336" spans="2:4" ht="15.75">
      <c r="B336" s="24"/>
      <c r="C336" s="24"/>
      <c r="D336" s="24"/>
    </row>
    <row r="337" spans="2:4" ht="15.75">
      <c r="B337" s="24"/>
      <c r="C337" s="24"/>
      <c r="D337" s="24"/>
    </row>
    <row r="338" spans="2:4" ht="15.75">
      <c r="B338" s="24"/>
      <c r="C338" s="24"/>
      <c r="D338" s="24"/>
    </row>
    <row r="339" spans="2:4" ht="15.75">
      <c r="B339" s="24"/>
      <c r="C339" s="24"/>
      <c r="D339" s="24"/>
    </row>
    <row r="340" spans="2:4" ht="15.75">
      <c r="B340" s="24"/>
      <c r="C340" s="24"/>
      <c r="D340" s="24"/>
    </row>
    <row r="341" spans="2:4" ht="15.75">
      <c r="B341" s="24"/>
      <c r="C341" s="24"/>
      <c r="D341" s="24"/>
    </row>
    <row r="342" spans="2:4" ht="15.75">
      <c r="B342" s="24"/>
      <c r="C342" s="24"/>
      <c r="D342" s="24"/>
    </row>
    <row r="343" spans="2:4" ht="15.75">
      <c r="B343" s="24"/>
      <c r="C343" s="24"/>
      <c r="D343" s="24"/>
    </row>
    <row r="344" spans="2:4" ht="15.75">
      <c r="B344" s="24"/>
      <c r="C344" s="24"/>
      <c r="D344" s="24"/>
    </row>
    <row r="345" spans="2:4" ht="15.75">
      <c r="B345" s="24"/>
      <c r="C345" s="24"/>
      <c r="D345" s="24"/>
    </row>
    <row r="346" spans="2:4" ht="15.75">
      <c r="B346" s="24"/>
      <c r="C346" s="24"/>
      <c r="D346" s="24"/>
    </row>
    <row r="347" spans="2:4" ht="15.75">
      <c r="B347" s="24"/>
      <c r="C347" s="24"/>
      <c r="D347" s="24"/>
    </row>
    <row r="348" spans="2:4" ht="15.75">
      <c r="B348" s="24"/>
      <c r="C348" s="24"/>
      <c r="D348" s="24"/>
    </row>
    <row r="349" spans="2:4" ht="15.75">
      <c r="B349" s="24"/>
      <c r="C349" s="24"/>
      <c r="D349" s="24"/>
    </row>
    <row r="350" spans="2:4" ht="15.75">
      <c r="B350" s="24"/>
      <c r="C350" s="24"/>
      <c r="D350" s="24"/>
    </row>
    <row r="351" spans="2:4" ht="15.75">
      <c r="B351" s="24"/>
      <c r="C351" s="24"/>
      <c r="D351" s="24"/>
    </row>
    <row r="352" spans="2:4" ht="15.75">
      <c r="B352" s="24"/>
      <c r="C352" s="24"/>
      <c r="D352" s="24"/>
    </row>
    <row r="353" spans="2:4" ht="15.75">
      <c r="B353" s="24"/>
      <c r="C353" s="24"/>
      <c r="D353" s="24"/>
    </row>
    <row r="354" spans="2:4" ht="15.75">
      <c r="B354" s="24"/>
      <c r="C354" s="24"/>
      <c r="D354" s="24"/>
    </row>
    <row r="355" spans="2:4" ht="15.75">
      <c r="B355" s="24"/>
      <c r="C355" s="24"/>
      <c r="D355" s="24"/>
    </row>
    <row r="356" spans="2:4" ht="15.75">
      <c r="B356" s="24"/>
      <c r="C356" s="24"/>
      <c r="D356" s="24"/>
    </row>
    <row r="357" spans="2:4" ht="15.75">
      <c r="B357" s="24"/>
      <c r="C357" s="24"/>
      <c r="D357" s="24"/>
    </row>
    <row r="358" spans="2:4" ht="15.75">
      <c r="B358" s="24"/>
      <c r="C358" s="24"/>
      <c r="D358" s="24"/>
    </row>
    <row r="359" spans="2:4" ht="15.75">
      <c r="B359" s="24"/>
      <c r="C359" s="24"/>
      <c r="D359" s="24"/>
    </row>
    <row r="360" spans="2:4" ht="15.75">
      <c r="B360" s="24"/>
      <c r="C360" s="24"/>
      <c r="D360" s="24"/>
    </row>
    <row r="361" spans="2:4" ht="15.75">
      <c r="B361" s="24"/>
      <c r="C361" s="24"/>
      <c r="D361" s="24"/>
    </row>
    <row r="362" spans="2:4" ht="15.75">
      <c r="B362" s="24"/>
      <c r="C362" s="24"/>
      <c r="D362" s="24"/>
    </row>
    <row r="363" spans="2:4" ht="15.75">
      <c r="B363" s="24"/>
      <c r="C363" s="24"/>
      <c r="D363" s="24"/>
    </row>
    <row r="364" spans="2:4" ht="15.75">
      <c r="B364" s="24"/>
      <c r="C364" s="24"/>
      <c r="D364" s="24"/>
    </row>
    <row r="365" spans="2:4" ht="15.75">
      <c r="B365" s="24"/>
      <c r="C365" s="24"/>
      <c r="D365" s="24"/>
    </row>
    <row r="366" spans="2:4" ht="15.75">
      <c r="B366" s="24"/>
      <c r="C366" s="24"/>
      <c r="D366" s="24"/>
    </row>
    <row r="367" spans="2:4" ht="15.75">
      <c r="B367" s="24"/>
      <c r="C367" s="24"/>
      <c r="D367" s="24"/>
    </row>
    <row r="368" spans="2:4" ht="15.75">
      <c r="B368" s="24"/>
      <c r="C368" s="24"/>
      <c r="D368" s="24"/>
    </row>
    <row r="369" spans="2:4" ht="15.75">
      <c r="B369" s="24"/>
      <c r="C369" s="24"/>
      <c r="D369" s="24"/>
    </row>
    <row r="370" spans="2:4" ht="15.75">
      <c r="B370" s="24"/>
      <c r="C370" s="24"/>
      <c r="D370" s="24"/>
    </row>
    <row r="371" spans="2:4" ht="15.75">
      <c r="B371" s="24"/>
      <c r="C371" s="24"/>
      <c r="D371" s="24"/>
    </row>
    <row r="372" spans="2:4" ht="15.75">
      <c r="B372" s="24"/>
      <c r="C372" s="24"/>
      <c r="D372" s="24"/>
    </row>
    <row r="373" spans="2:4" ht="15.75">
      <c r="B373" s="24"/>
      <c r="C373" s="24"/>
      <c r="D373" s="24"/>
    </row>
    <row r="374" spans="2:4" ht="15.75">
      <c r="B374" s="24"/>
      <c r="C374" s="24"/>
      <c r="D374" s="24"/>
    </row>
    <row r="375" spans="2:4" ht="15.75">
      <c r="B375" s="24"/>
      <c r="C375" s="24"/>
      <c r="D375" s="24"/>
    </row>
    <row r="376" spans="2:4" ht="15.75">
      <c r="B376" s="24"/>
      <c r="C376" s="24"/>
      <c r="D376" s="24"/>
    </row>
    <row r="377" spans="2:4" ht="15.75">
      <c r="B377" s="24"/>
      <c r="C377" s="24"/>
      <c r="D377" s="24"/>
    </row>
    <row r="378" spans="2:4" ht="15.75">
      <c r="B378" s="24"/>
      <c r="C378" s="24"/>
      <c r="D378" s="24"/>
    </row>
    <row r="379" spans="2:4" ht="15.75">
      <c r="B379" s="24"/>
      <c r="C379" s="24"/>
      <c r="D379" s="24"/>
    </row>
    <row r="380" spans="2:4" ht="15.75">
      <c r="B380" s="24"/>
      <c r="C380" s="24"/>
      <c r="D380" s="24"/>
    </row>
    <row r="381" spans="2:4" ht="15.75">
      <c r="B381" s="24"/>
      <c r="C381" s="24"/>
      <c r="D381" s="24"/>
    </row>
    <row r="382" spans="2:4" ht="15.75">
      <c r="B382" s="24"/>
      <c r="C382" s="24"/>
      <c r="D382" s="24"/>
    </row>
    <row r="383" spans="2:4" ht="15.75">
      <c r="B383" s="24"/>
      <c r="C383" s="24"/>
      <c r="D383" s="24"/>
    </row>
    <row r="384" spans="2:4" ht="15.75">
      <c r="B384" s="24"/>
      <c r="C384" s="24"/>
      <c r="D384" s="24"/>
    </row>
    <row r="385" spans="2:4" ht="15.75">
      <c r="B385" s="24"/>
      <c r="C385" s="24"/>
      <c r="D385" s="24"/>
    </row>
    <row r="386" spans="2:4" ht="15.75">
      <c r="B386" s="24"/>
      <c r="C386" s="24"/>
      <c r="D386" s="24"/>
    </row>
    <row r="387" spans="2:4" ht="15.75">
      <c r="B387" s="24"/>
      <c r="C387" s="24"/>
      <c r="D387" s="24"/>
    </row>
    <row r="388" spans="2:4" ht="15.75">
      <c r="B388" s="24"/>
      <c r="C388" s="24"/>
      <c r="D388" s="24"/>
    </row>
    <row r="389" spans="2:4" ht="15.75">
      <c r="B389" s="24"/>
      <c r="C389" s="24"/>
      <c r="D389" s="24"/>
    </row>
    <row r="390" spans="2:4" ht="15.75">
      <c r="B390" s="24"/>
      <c r="C390" s="24"/>
      <c r="D390" s="24"/>
    </row>
    <row r="391" spans="2:4" ht="15.75">
      <c r="B391" s="24"/>
      <c r="C391" s="24"/>
      <c r="D391" s="24"/>
    </row>
    <row r="392" spans="2:4" ht="15.75">
      <c r="B392" s="24"/>
      <c r="C392" s="24"/>
      <c r="D392" s="24"/>
    </row>
    <row r="393" spans="2:4" ht="15.75">
      <c r="B393" s="24"/>
      <c r="C393" s="24"/>
      <c r="D393" s="24"/>
    </row>
    <row r="394" spans="2:4" ht="15.75">
      <c r="B394" s="24"/>
      <c r="C394" s="24"/>
      <c r="D394" s="24"/>
    </row>
    <row r="395" spans="2:4" ht="15.75">
      <c r="B395" s="24"/>
      <c r="C395" s="24"/>
      <c r="D395" s="24"/>
    </row>
    <row r="396" spans="2:4" ht="15.75">
      <c r="B396" s="24"/>
      <c r="C396" s="24"/>
      <c r="D396" s="24"/>
    </row>
    <row r="397" spans="2:4" ht="15.75">
      <c r="B397" s="24"/>
      <c r="C397" s="24"/>
      <c r="D397" s="24"/>
    </row>
    <row r="398" spans="2:4" ht="15.75">
      <c r="B398" s="24"/>
      <c r="C398" s="24"/>
      <c r="D398" s="24"/>
    </row>
    <row r="399" spans="2:4" ht="15.75">
      <c r="B399" s="24"/>
      <c r="C399" s="24"/>
      <c r="D399" s="24"/>
    </row>
    <row r="400" spans="2:4" ht="15.75">
      <c r="B400" s="24"/>
      <c r="C400" s="24"/>
      <c r="D400" s="24"/>
    </row>
    <row r="401" spans="2:4" ht="15.75">
      <c r="B401" s="24"/>
      <c r="C401" s="24"/>
      <c r="D401" s="24"/>
    </row>
    <row r="402" spans="2:4" ht="15.75">
      <c r="B402" s="24"/>
      <c r="C402" s="24"/>
      <c r="D402" s="24"/>
    </row>
    <row r="403" spans="2:4" ht="15.75">
      <c r="B403" s="24"/>
      <c r="C403" s="24"/>
      <c r="D403" s="24"/>
    </row>
    <row r="404" spans="2:4" ht="15.75">
      <c r="B404" s="24"/>
      <c r="C404" s="24"/>
      <c r="D404" s="24"/>
    </row>
    <row r="405" spans="2:4" ht="15.75">
      <c r="B405" s="24"/>
      <c r="C405" s="24"/>
      <c r="D405" s="24"/>
    </row>
    <row r="406" spans="2:4" ht="15.75">
      <c r="B406" s="24"/>
      <c r="C406" s="24"/>
      <c r="D406" s="24"/>
    </row>
    <row r="407" spans="2:4" ht="15.75">
      <c r="B407" s="24"/>
      <c r="C407" s="24"/>
      <c r="D407" s="24"/>
    </row>
    <row r="408" spans="2:4" ht="15.75">
      <c r="B408" s="24"/>
      <c r="C408" s="24"/>
      <c r="D408" s="24"/>
    </row>
    <row r="409" spans="2:4" ht="15.75">
      <c r="B409" s="24"/>
      <c r="C409" s="24"/>
      <c r="D409" s="24"/>
    </row>
    <row r="410" spans="2:4" ht="15.75">
      <c r="B410" s="24"/>
      <c r="C410" s="24"/>
      <c r="D410" s="24"/>
    </row>
    <row r="411" spans="2:4" ht="15.75">
      <c r="B411" s="24"/>
      <c r="C411" s="24"/>
      <c r="D411" s="24"/>
    </row>
    <row r="412" spans="2:4" ht="15.75">
      <c r="B412" s="24"/>
      <c r="C412" s="24"/>
      <c r="D412" s="24"/>
    </row>
    <row r="413" spans="2:4" ht="15.75">
      <c r="B413" s="24"/>
      <c r="C413" s="24"/>
      <c r="D413" s="24"/>
    </row>
  </sheetData>
  <printOptions horizontalCentered="1" verticalCentered="1"/>
  <pageMargins left="0.037401575" right="0.037401575" top="0.25" bottom="1" header="0" footer="0"/>
  <pageSetup horizontalDpi="200" verticalDpi="2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79" sqref="C79"/>
    </sheetView>
  </sheetViews>
  <sheetFormatPr defaultColWidth="11.421875" defaultRowHeight="12.75"/>
  <cols>
    <col min="1" max="1" width="49.140625" style="0" customWidth="1"/>
    <col min="2" max="2" width="5.421875" style="0" customWidth="1"/>
    <col min="3" max="3" width="8.28125" style="0" customWidth="1"/>
    <col min="4" max="4" width="8.7109375" style="0" customWidth="1"/>
    <col min="5" max="5" width="10.8515625" style="0" customWidth="1"/>
    <col min="6" max="6" width="9.421875" style="0" customWidth="1"/>
    <col min="7" max="7" width="10.00390625" style="0" customWidth="1"/>
    <col min="8" max="8" width="9.28125" style="0" customWidth="1"/>
    <col min="9" max="9" width="10.28125" style="0" customWidth="1"/>
    <col min="10" max="10" width="78.28125" style="0" customWidth="1"/>
  </cols>
  <sheetData>
    <row r="1" spans="1:10" ht="17.25" thickBot="1" thickTop="1">
      <c r="A1" s="275" t="s">
        <v>447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ht="16.5" thickTop="1">
      <c r="A3" s="135">
        <v>4.1</v>
      </c>
      <c r="B3" s="132"/>
      <c r="C3" s="132"/>
      <c r="D3" s="133"/>
      <c r="E3" s="133"/>
      <c r="F3" s="133"/>
      <c r="G3" s="132"/>
      <c r="H3" s="133"/>
      <c r="I3" s="124"/>
      <c r="J3" s="134"/>
    </row>
    <row r="4" spans="1:10" ht="15.75">
      <c r="A4" s="136" t="s">
        <v>448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ht="15.75">
      <c r="A5" s="136" t="s">
        <v>391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ht="15.75">
      <c r="A6" s="136" t="s">
        <v>449</v>
      </c>
      <c r="B6" s="125"/>
      <c r="C6" s="125"/>
      <c r="D6" s="126"/>
      <c r="E6" s="126"/>
      <c r="F6" s="126"/>
      <c r="G6" s="125"/>
      <c r="H6" s="126"/>
      <c r="I6" s="125"/>
      <c r="J6" s="152"/>
    </row>
    <row r="7" spans="1:10" s="1" customFormat="1" ht="15.75">
      <c r="A7" s="172" t="s">
        <v>450</v>
      </c>
      <c r="B7" s="24" t="s">
        <v>387</v>
      </c>
      <c r="C7" s="2" t="s">
        <v>228</v>
      </c>
      <c r="D7" s="2" t="s">
        <v>290</v>
      </c>
      <c r="E7" s="266">
        <v>0.1</v>
      </c>
      <c r="F7" s="14">
        <f>+C77</f>
        <v>6.89</v>
      </c>
      <c r="H7" s="25">
        <f>E7*F7</f>
        <v>0.6890000000000001</v>
      </c>
      <c r="I7" s="95">
        <f>E7*F7</f>
        <v>0.6890000000000001</v>
      </c>
      <c r="J7" s="5"/>
    </row>
    <row r="8" spans="1:10" ht="15.75">
      <c r="A8" s="101"/>
      <c r="B8" s="24"/>
      <c r="C8" s="2"/>
      <c r="D8" s="2"/>
      <c r="E8" s="3"/>
      <c r="F8" s="14"/>
      <c r="G8" s="85">
        <v>0</v>
      </c>
      <c r="H8" s="254">
        <f>E7*F7</f>
        <v>0.6890000000000001</v>
      </c>
      <c r="I8" s="95"/>
      <c r="J8" s="5"/>
    </row>
    <row r="9" spans="1:10" ht="15.75">
      <c r="A9" s="123" t="s">
        <v>451</v>
      </c>
      <c r="B9" s="24"/>
      <c r="C9" s="2"/>
      <c r="D9" s="2"/>
      <c r="E9" s="3"/>
      <c r="F9" s="14"/>
      <c r="G9" s="85"/>
      <c r="H9" s="85"/>
      <c r="I9" s="95"/>
      <c r="J9" s="5"/>
    </row>
    <row r="10" spans="1:10" ht="15.75">
      <c r="A10" s="137" t="s">
        <v>452</v>
      </c>
      <c r="B10" s="24" t="s">
        <v>389</v>
      </c>
      <c r="C10" s="24" t="s">
        <v>228</v>
      </c>
      <c r="D10" s="24" t="s">
        <v>290</v>
      </c>
      <c r="E10" s="266">
        <v>0.2</v>
      </c>
      <c r="F10" s="14">
        <f>+C77</f>
        <v>6.89</v>
      </c>
      <c r="G10" s="1"/>
      <c r="H10" s="25">
        <f>E10*F10</f>
        <v>1.3780000000000001</v>
      </c>
      <c r="I10" s="95">
        <f>E10*F10</f>
        <v>1.3780000000000001</v>
      </c>
      <c r="J10" s="5"/>
    </row>
    <row r="11" spans="1:10" ht="16.5" thickBot="1">
      <c r="A11" s="90"/>
      <c r="B11" s="28"/>
      <c r="C11" s="28"/>
      <c r="D11" s="28"/>
      <c r="E11" s="8"/>
      <c r="F11" s="10"/>
      <c r="G11" s="67">
        <v>0</v>
      </c>
      <c r="H11" s="252">
        <f>E10*F10</f>
        <v>1.3780000000000001</v>
      </c>
      <c r="I11" s="88"/>
      <c r="J11" s="11"/>
    </row>
    <row r="12" spans="1:10" ht="16.5" thickTop="1">
      <c r="A12" s="177">
        <v>4.2</v>
      </c>
      <c r="B12" s="69"/>
      <c r="C12" s="69"/>
      <c r="D12" s="69"/>
      <c r="E12" s="70"/>
      <c r="F12" s="84"/>
      <c r="G12" s="115"/>
      <c r="H12" s="115"/>
      <c r="I12" s="95"/>
      <c r="J12" s="71"/>
    </row>
    <row r="13" spans="1:10" ht="15.75">
      <c r="A13" s="173" t="s">
        <v>453</v>
      </c>
      <c r="B13" s="24"/>
      <c r="C13" s="24"/>
      <c r="D13" s="24"/>
      <c r="E13" s="3"/>
      <c r="F13" s="14"/>
      <c r="G13" s="85"/>
      <c r="H13" s="85"/>
      <c r="I13" s="95"/>
      <c r="J13" s="5"/>
    </row>
    <row r="14" spans="1:10" ht="15.75">
      <c r="A14" s="173" t="s">
        <v>454</v>
      </c>
      <c r="B14" s="24"/>
      <c r="C14" s="24"/>
      <c r="D14" s="24"/>
      <c r="E14" s="3"/>
      <c r="F14" s="14"/>
      <c r="G14" s="85"/>
      <c r="H14" s="85"/>
      <c r="I14" s="95"/>
      <c r="J14" s="5"/>
    </row>
    <row r="15" spans="1:10" ht="15.75">
      <c r="A15" s="173" t="s">
        <v>455</v>
      </c>
      <c r="B15" s="24"/>
      <c r="C15" s="24"/>
      <c r="D15" s="24"/>
      <c r="E15" s="3"/>
      <c r="F15" s="14"/>
      <c r="G15" s="85"/>
      <c r="H15" s="85"/>
      <c r="I15" s="95"/>
      <c r="J15" s="5"/>
    </row>
    <row r="16" spans="1:10" ht="15.75">
      <c r="A16" s="174" t="s">
        <v>289</v>
      </c>
      <c r="B16" s="24" t="s">
        <v>387</v>
      </c>
      <c r="C16" s="2" t="s">
        <v>228</v>
      </c>
      <c r="D16" s="2" t="s">
        <v>290</v>
      </c>
      <c r="E16" s="3">
        <v>0.12</v>
      </c>
      <c r="F16" s="14">
        <f>+C77</f>
        <v>6.89</v>
      </c>
      <c r="G16" s="1"/>
      <c r="H16" s="25">
        <f>E16*F16</f>
        <v>0.8268</v>
      </c>
      <c r="I16" s="95">
        <f>E16*F16</f>
        <v>0.8268</v>
      </c>
      <c r="J16" s="5"/>
    </row>
    <row r="17" spans="1:10" ht="15.75">
      <c r="A17" s="174"/>
      <c r="B17" s="24"/>
      <c r="C17" s="2"/>
      <c r="D17" s="2"/>
      <c r="E17" s="3"/>
      <c r="F17" s="14"/>
      <c r="G17" s="85">
        <v>0</v>
      </c>
      <c r="H17" s="254">
        <f>E16*F16</f>
        <v>0.8268</v>
      </c>
      <c r="I17" s="95"/>
      <c r="J17" s="5"/>
    </row>
    <row r="18" spans="1:10" ht="15.75">
      <c r="A18" s="173" t="s">
        <v>456</v>
      </c>
      <c r="B18" s="24"/>
      <c r="C18" s="2"/>
      <c r="D18" s="2"/>
      <c r="E18" s="3"/>
      <c r="F18" s="14"/>
      <c r="G18" s="85"/>
      <c r="H18" s="85"/>
      <c r="I18" s="95"/>
      <c r="J18" s="5"/>
    </row>
    <row r="19" spans="1:10" ht="15.75">
      <c r="A19" s="172" t="s">
        <v>457</v>
      </c>
      <c r="B19" s="24" t="s">
        <v>389</v>
      </c>
      <c r="C19" s="24" t="s">
        <v>228</v>
      </c>
      <c r="D19" s="24" t="s">
        <v>290</v>
      </c>
      <c r="E19" s="3">
        <v>0.09</v>
      </c>
      <c r="F19" s="14">
        <f>+C77</f>
        <v>6.89</v>
      </c>
      <c r="G19" s="1"/>
      <c r="H19" s="25">
        <f>E19*F19</f>
        <v>0.6201</v>
      </c>
      <c r="I19" s="95">
        <f>E19*F19</f>
        <v>0.6201</v>
      </c>
      <c r="J19" s="5"/>
    </row>
    <row r="20" spans="1:10" ht="16.5" thickBot="1">
      <c r="A20" s="90"/>
      <c r="B20" s="28"/>
      <c r="C20" s="28"/>
      <c r="D20" s="28"/>
      <c r="E20" s="8"/>
      <c r="F20" s="10"/>
      <c r="G20" s="67">
        <v>0</v>
      </c>
      <c r="H20" s="252">
        <f>E19*F19</f>
        <v>0.6201</v>
      </c>
      <c r="I20" s="88"/>
      <c r="J20" s="11"/>
    </row>
    <row r="21" spans="1:10" ht="16.5" thickTop="1">
      <c r="A21" s="122">
        <v>4.3</v>
      </c>
      <c r="B21" s="69"/>
      <c r="C21" s="69"/>
      <c r="D21" s="69"/>
      <c r="E21" s="70"/>
      <c r="F21" s="84"/>
      <c r="G21" s="115"/>
      <c r="H21" s="115"/>
      <c r="I21" s="89"/>
      <c r="J21" s="71"/>
    </row>
    <row r="22" spans="1:10" ht="15.75">
      <c r="A22" s="123" t="s">
        <v>458</v>
      </c>
      <c r="B22" s="24"/>
      <c r="C22" s="24"/>
      <c r="D22" s="24"/>
      <c r="E22" s="3"/>
      <c r="F22" s="14"/>
      <c r="G22" s="85"/>
      <c r="H22" s="85"/>
      <c r="I22" s="95"/>
      <c r="J22" s="5"/>
    </row>
    <row r="23" spans="1:10" ht="15.75">
      <c r="A23" s="123" t="s">
        <v>459</v>
      </c>
      <c r="B23" s="24"/>
      <c r="C23" s="24"/>
      <c r="D23" s="24"/>
      <c r="E23" s="3"/>
      <c r="F23" s="14"/>
      <c r="G23" s="85"/>
      <c r="H23" s="85"/>
      <c r="I23" s="95"/>
      <c r="J23" s="5"/>
    </row>
    <row r="24" spans="1:10" ht="15.75">
      <c r="A24" s="173" t="s">
        <v>460</v>
      </c>
      <c r="B24" s="24"/>
      <c r="C24" s="24"/>
      <c r="D24" s="24"/>
      <c r="E24" s="3"/>
      <c r="F24" s="14"/>
      <c r="G24" s="85"/>
      <c r="H24" s="85"/>
      <c r="I24" s="95"/>
      <c r="J24" s="5"/>
    </row>
    <row r="25" spans="1:10" ht="15.75">
      <c r="A25" s="172" t="s">
        <v>461</v>
      </c>
      <c r="B25" s="24" t="s">
        <v>387</v>
      </c>
      <c r="C25" s="2" t="s">
        <v>228</v>
      </c>
      <c r="D25" s="2" t="s">
        <v>229</v>
      </c>
      <c r="E25" s="3">
        <v>0.64</v>
      </c>
      <c r="F25" s="14">
        <f>+C78</f>
        <v>4.38</v>
      </c>
      <c r="G25" s="1"/>
      <c r="H25" s="25">
        <f>E25*F25</f>
        <v>2.8032</v>
      </c>
      <c r="I25" s="95">
        <f>E25*F25</f>
        <v>2.8032</v>
      </c>
      <c r="J25" s="5"/>
    </row>
    <row r="26" spans="1:10" ht="15.75">
      <c r="A26" s="138"/>
      <c r="B26" s="24"/>
      <c r="C26" s="2"/>
      <c r="D26" s="2"/>
      <c r="E26" s="3"/>
      <c r="F26" s="14"/>
      <c r="G26" s="85">
        <v>0</v>
      </c>
      <c r="H26" s="254">
        <f>E25*F25</f>
        <v>2.8032</v>
      </c>
      <c r="I26" s="95"/>
      <c r="J26" s="5"/>
    </row>
    <row r="27" spans="1:10" ht="15.75">
      <c r="A27" s="123" t="s">
        <v>462</v>
      </c>
      <c r="B27" s="24"/>
      <c r="C27" s="2"/>
      <c r="D27" s="2"/>
      <c r="E27" s="3"/>
      <c r="F27" s="14"/>
      <c r="G27" s="85"/>
      <c r="H27" s="85"/>
      <c r="I27" s="95"/>
      <c r="J27" s="5"/>
    </row>
    <row r="28" spans="1:10" ht="15.75">
      <c r="A28" s="137" t="s">
        <v>463</v>
      </c>
      <c r="B28" s="24" t="s">
        <v>389</v>
      </c>
      <c r="C28" s="24" t="s">
        <v>228</v>
      </c>
      <c r="D28" s="2" t="s">
        <v>229</v>
      </c>
      <c r="E28" s="3">
        <v>1.28</v>
      </c>
      <c r="F28" s="14">
        <f>+C78</f>
        <v>4.38</v>
      </c>
      <c r="G28" s="1"/>
      <c r="H28" s="25">
        <f>E28*F28</f>
        <v>5.6064</v>
      </c>
      <c r="I28" s="95">
        <f>E28*F28</f>
        <v>5.6064</v>
      </c>
      <c r="J28" s="5"/>
    </row>
    <row r="29" spans="1:10" ht="15.75">
      <c r="A29" s="138"/>
      <c r="B29" s="24"/>
      <c r="C29" s="24"/>
      <c r="D29" s="2"/>
      <c r="E29" s="3"/>
      <c r="F29" s="14"/>
      <c r="G29" s="85">
        <v>0</v>
      </c>
      <c r="H29" s="254">
        <f>E28*F28</f>
        <v>5.6064</v>
      </c>
      <c r="I29" s="95"/>
      <c r="J29" s="5"/>
    </row>
    <row r="30" spans="1:10" ht="15.75">
      <c r="A30" s="123" t="s">
        <v>464</v>
      </c>
      <c r="B30" s="24"/>
      <c r="C30" s="24"/>
      <c r="D30" s="2"/>
      <c r="E30" s="3"/>
      <c r="F30" s="14"/>
      <c r="G30" s="85"/>
      <c r="H30" s="85"/>
      <c r="I30" s="95"/>
      <c r="J30" s="5"/>
    </row>
    <row r="31" spans="1:10" ht="15.75">
      <c r="A31" s="174" t="s">
        <v>227</v>
      </c>
      <c r="B31" s="24" t="s">
        <v>404</v>
      </c>
      <c r="C31" s="2" t="s">
        <v>228</v>
      </c>
      <c r="D31" s="2" t="s">
        <v>229</v>
      </c>
      <c r="E31" s="3">
        <v>0.45</v>
      </c>
      <c r="F31" s="14">
        <f>+C78</f>
        <v>4.38</v>
      </c>
      <c r="G31" s="1"/>
      <c r="H31" s="25">
        <f>E31*F31</f>
        <v>1.971</v>
      </c>
      <c r="I31" s="95">
        <f>E31*F31</f>
        <v>1.971</v>
      </c>
      <c r="J31" s="5"/>
    </row>
    <row r="32" spans="1:10" ht="16.5" thickBot="1">
      <c r="A32" s="204"/>
      <c r="B32" s="28"/>
      <c r="C32" s="7"/>
      <c r="D32" s="7"/>
      <c r="E32" s="8"/>
      <c r="F32" s="10"/>
      <c r="G32" s="67">
        <v>0</v>
      </c>
      <c r="H32" s="252">
        <f>E31*F31</f>
        <v>1.971</v>
      </c>
      <c r="I32" s="96"/>
      <c r="J32" s="11"/>
    </row>
    <row r="33" spans="1:10" ht="16.5" thickTop="1">
      <c r="A33" s="177">
        <v>4.4</v>
      </c>
      <c r="B33" s="69"/>
      <c r="C33" s="56"/>
      <c r="D33" s="56"/>
      <c r="E33" s="70"/>
      <c r="F33" s="84"/>
      <c r="G33" s="115"/>
      <c r="H33" s="115"/>
      <c r="I33" s="89"/>
      <c r="J33" s="71"/>
    </row>
    <row r="34" spans="1:10" ht="15.75">
      <c r="A34" s="173" t="s">
        <v>465</v>
      </c>
      <c r="B34" s="24"/>
      <c r="C34" s="2"/>
      <c r="D34" s="2"/>
      <c r="E34" s="3"/>
      <c r="F34" s="14"/>
      <c r="G34" s="85"/>
      <c r="H34" s="85"/>
      <c r="I34" s="95"/>
      <c r="J34" s="5"/>
    </row>
    <row r="35" spans="1:10" ht="15.75">
      <c r="A35" s="173" t="s">
        <v>466</v>
      </c>
      <c r="B35" s="24"/>
      <c r="C35" s="2"/>
      <c r="D35" s="2"/>
      <c r="E35" s="3"/>
      <c r="F35" s="14"/>
      <c r="G35" s="85"/>
      <c r="H35" s="85"/>
      <c r="I35" s="95"/>
      <c r="J35" s="5"/>
    </row>
    <row r="36" spans="1:10" ht="15.75">
      <c r="A36" s="173" t="s">
        <v>467</v>
      </c>
      <c r="B36" s="24"/>
      <c r="C36" s="2"/>
      <c r="D36" s="2"/>
      <c r="E36" s="3"/>
      <c r="F36" s="14"/>
      <c r="G36" s="85"/>
      <c r="H36" s="85"/>
      <c r="I36" s="95"/>
      <c r="J36" s="5"/>
    </row>
    <row r="37" spans="1:10" ht="15.75">
      <c r="A37" s="181" t="s">
        <v>227</v>
      </c>
      <c r="B37" s="24" t="s">
        <v>387</v>
      </c>
      <c r="C37" s="24" t="s">
        <v>228</v>
      </c>
      <c r="D37" s="2" t="s">
        <v>229</v>
      </c>
      <c r="E37" s="3">
        <v>2.76</v>
      </c>
      <c r="F37" s="14">
        <f>+C78</f>
        <v>4.38</v>
      </c>
      <c r="G37" s="1"/>
      <c r="H37" s="25">
        <f>E37*F37</f>
        <v>12.088799999999999</v>
      </c>
      <c r="I37" s="95">
        <f>E37*F37</f>
        <v>12.088799999999999</v>
      </c>
      <c r="J37" s="5"/>
    </row>
    <row r="38" spans="1:10" ht="15.75">
      <c r="A38" s="174"/>
      <c r="B38" s="24"/>
      <c r="C38" s="24"/>
      <c r="D38" s="2"/>
      <c r="E38" s="3"/>
      <c r="F38" s="14"/>
      <c r="G38" s="85">
        <v>0</v>
      </c>
      <c r="H38" s="85">
        <f>E37*F37</f>
        <v>12.088799999999999</v>
      </c>
      <c r="I38" s="95"/>
      <c r="J38" s="5"/>
    </row>
    <row r="39" spans="1:10" ht="15.75">
      <c r="A39" s="173" t="s">
        <v>468</v>
      </c>
      <c r="B39" s="24"/>
      <c r="C39" s="24"/>
      <c r="D39" s="2"/>
      <c r="E39" s="3"/>
      <c r="F39" s="14"/>
      <c r="G39" s="85"/>
      <c r="H39" s="85"/>
      <c r="I39" s="95"/>
      <c r="J39" s="5"/>
    </row>
    <row r="40" spans="1:10" ht="15.75">
      <c r="A40" s="174" t="s">
        <v>227</v>
      </c>
      <c r="B40" s="24" t="s">
        <v>389</v>
      </c>
      <c r="C40" s="2" t="s">
        <v>228</v>
      </c>
      <c r="D40" s="2" t="s">
        <v>229</v>
      </c>
      <c r="E40" s="3">
        <v>0.15</v>
      </c>
      <c r="F40" s="14">
        <f>+C78</f>
        <v>4.38</v>
      </c>
      <c r="G40" s="1"/>
      <c r="H40" s="25">
        <f>E40*F40</f>
        <v>0.6569999999999999</v>
      </c>
      <c r="I40" s="95">
        <f>E40*F40</f>
        <v>0.6569999999999999</v>
      </c>
      <c r="J40" s="5"/>
    </row>
    <row r="41" spans="1:10" ht="15.75">
      <c r="A41" s="174"/>
      <c r="B41" s="24"/>
      <c r="C41" s="2"/>
      <c r="D41" s="2"/>
      <c r="E41" s="3"/>
      <c r="F41" s="14"/>
      <c r="G41" s="85">
        <v>0</v>
      </c>
      <c r="H41" s="254">
        <f>E40*F40</f>
        <v>0.6569999999999999</v>
      </c>
      <c r="I41" s="95"/>
      <c r="J41" s="5"/>
    </row>
    <row r="42" spans="1:10" ht="15.75">
      <c r="A42" s="173" t="s">
        <v>469</v>
      </c>
      <c r="B42" s="24"/>
      <c r="C42" s="2"/>
      <c r="D42" s="2"/>
      <c r="E42" s="3"/>
      <c r="F42" s="14"/>
      <c r="G42" s="85"/>
      <c r="H42" s="85"/>
      <c r="I42" s="95"/>
      <c r="J42" s="5"/>
    </row>
    <row r="43" spans="1:10" ht="15.75">
      <c r="A43" s="172" t="s">
        <v>470</v>
      </c>
      <c r="B43" s="24" t="s">
        <v>404</v>
      </c>
      <c r="C43" s="2" t="s">
        <v>228</v>
      </c>
      <c r="D43" s="2" t="s">
        <v>229</v>
      </c>
      <c r="E43" s="266">
        <v>0.3</v>
      </c>
      <c r="F43" s="14">
        <f>+C78</f>
        <v>4.38</v>
      </c>
      <c r="G43" s="1"/>
      <c r="H43" s="25">
        <f>E43*F43</f>
        <v>1.3139999999999998</v>
      </c>
      <c r="I43" s="95">
        <f>E43*F43</f>
        <v>1.3139999999999998</v>
      </c>
      <c r="J43" s="5"/>
    </row>
    <row r="44" spans="1:10" ht="15.75">
      <c r="A44" s="174"/>
      <c r="B44" s="24"/>
      <c r="C44" s="2"/>
      <c r="D44" s="2"/>
      <c r="E44" s="3"/>
      <c r="F44" s="14"/>
      <c r="G44" s="85">
        <v>0</v>
      </c>
      <c r="H44" s="254">
        <f>E43*F43</f>
        <v>1.3139999999999998</v>
      </c>
      <c r="I44" s="95"/>
      <c r="J44" s="5"/>
    </row>
    <row r="45" spans="1:10" ht="15.75">
      <c r="A45" s="173" t="s">
        <v>471</v>
      </c>
      <c r="B45" s="24"/>
      <c r="C45" s="2"/>
      <c r="D45" s="2"/>
      <c r="E45" s="3"/>
      <c r="F45" s="14"/>
      <c r="G45" s="85"/>
      <c r="H45" s="85"/>
      <c r="I45" s="95"/>
      <c r="J45" s="5"/>
    </row>
    <row r="46" spans="1:10" ht="15.75">
      <c r="A46" s="172" t="s">
        <v>472</v>
      </c>
      <c r="B46" s="24" t="s">
        <v>406</v>
      </c>
      <c r="C46" s="24" t="s">
        <v>228</v>
      </c>
      <c r="D46" s="2" t="s">
        <v>229</v>
      </c>
      <c r="E46" s="3">
        <v>0.34</v>
      </c>
      <c r="F46" s="14">
        <f>+C78</f>
        <v>4.38</v>
      </c>
      <c r="G46" s="1"/>
      <c r="H46" s="25">
        <f>E46*F46</f>
        <v>1.4892</v>
      </c>
      <c r="I46" s="95">
        <f>E46*F46</f>
        <v>1.4892</v>
      </c>
      <c r="J46" s="5"/>
    </row>
    <row r="47" spans="1:10" ht="15.75">
      <c r="A47" s="174"/>
      <c r="B47" s="24"/>
      <c r="C47" s="24"/>
      <c r="D47" s="2"/>
      <c r="E47" s="3"/>
      <c r="F47" s="14"/>
      <c r="G47" s="85">
        <v>0</v>
      </c>
      <c r="H47" s="254">
        <f>E46*F46</f>
        <v>1.4892</v>
      </c>
      <c r="I47" s="95"/>
      <c r="J47" s="5"/>
    </row>
    <row r="48" spans="1:10" ht="15.75">
      <c r="A48" s="173" t="s">
        <v>473</v>
      </c>
      <c r="B48" s="24"/>
      <c r="C48" s="24"/>
      <c r="D48" s="2"/>
      <c r="E48" s="3"/>
      <c r="F48" s="14"/>
      <c r="G48" s="85"/>
      <c r="H48" s="85"/>
      <c r="I48" s="95"/>
      <c r="J48" s="5"/>
    </row>
    <row r="49" spans="1:10" ht="15.75">
      <c r="A49" s="172" t="s">
        <v>472</v>
      </c>
      <c r="B49" s="24" t="s">
        <v>474</v>
      </c>
      <c r="C49" s="2" t="s">
        <v>228</v>
      </c>
      <c r="D49" s="2" t="s">
        <v>229</v>
      </c>
      <c r="E49" s="266">
        <v>0.4</v>
      </c>
      <c r="F49" s="14">
        <f>+C78</f>
        <v>4.38</v>
      </c>
      <c r="G49" s="1"/>
      <c r="H49" s="25">
        <f>E49*F49</f>
        <v>1.752</v>
      </c>
      <c r="I49" s="95">
        <f>E49*F49</f>
        <v>1.752</v>
      </c>
      <c r="J49" s="5"/>
    </row>
    <row r="50" spans="1:10" ht="15.75">
      <c r="A50" s="174"/>
      <c r="B50" s="24"/>
      <c r="C50" s="2"/>
      <c r="D50" s="2"/>
      <c r="E50" s="3"/>
      <c r="F50" s="14"/>
      <c r="G50" s="85">
        <v>0</v>
      </c>
      <c r="H50" s="254">
        <f>E49*F49</f>
        <v>1.752</v>
      </c>
      <c r="I50" s="95"/>
      <c r="J50" s="5"/>
    </row>
    <row r="51" spans="1:10" ht="15.75">
      <c r="A51" s="173" t="s">
        <v>475</v>
      </c>
      <c r="B51" s="24"/>
      <c r="C51" s="2"/>
      <c r="D51" s="2"/>
      <c r="E51" s="3"/>
      <c r="F51" s="14"/>
      <c r="G51" s="85"/>
      <c r="H51" s="85"/>
      <c r="I51" s="95"/>
      <c r="J51" s="5"/>
    </row>
    <row r="52" spans="1:10" ht="15.75">
      <c r="A52" s="173" t="s">
        <v>472</v>
      </c>
      <c r="B52" s="24" t="s">
        <v>476</v>
      </c>
      <c r="C52" s="24" t="s">
        <v>228</v>
      </c>
      <c r="D52" s="2" t="s">
        <v>229</v>
      </c>
      <c r="E52" s="266">
        <v>0.6</v>
      </c>
      <c r="F52" s="14">
        <f>+C78</f>
        <v>4.38</v>
      </c>
      <c r="G52" s="1"/>
      <c r="H52" s="25">
        <f>E52*F52</f>
        <v>2.6279999999999997</v>
      </c>
      <c r="I52" s="95">
        <f>E52*F52</f>
        <v>2.6279999999999997</v>
      </c>
      <c r="J52" s="5"/>
    </row>
    <row r="53" spans="1:10" ht="15.75">
      <c r="A53" s="174"/>
      <c r="B53" s="24"/>
      <c r="C53" s="24"/>
      <c r="D53" s="2"/>
      <c r="E53" s="3"/>
      <c r="F53" s="14"/>
      <c r="G53" s="85">
        <v>0</v>
      </c>
      <c r="H53" s="254">
        <f>E52*F52</f>
        <v>2.6279999999999997</v>
      </c>
      <c r="I53" s="95"/>
      <c r="J53" s="5"/>
    </row>
    <row r="54" spans="1:10" ht="15.75">
      <c r="A54" s="173" t="s">
        <v>477</v>
      </c>
      <c r="B54" s="24"/>
      <c r="C54" s="24"/>
      <c r="D54" s="2"/>
      <c r="E54" s="3"/>
      <c r="F54" s="14"/>
      <c r="G54" s="85"/>
      <c r="H54" s="85"/>
      <c r="I54" s="95"/>
      <c r="J54" s="5"/>
    </row>
    <row r="55" spans="1:10" ht="15.75">
      <c r="A55" s="172" t="s">
        <v>478</v>
      </c>
      <c r="B55" s="24" t="s">
        <v>479</v>
      </c>
      <c r="C55" s="2" t="s">
        <v>228</v>
      </c>
      <c r="D55" s="2" t="s">
        <v>229</v>
      </c>
      <c r="E55" s="3">
        <v>0.75</v>
      </c>
      <c r="F55" s="14">
        <f>+C78</f>
        <v>4.38</v>
      </c>
      <c r="G55" s="1"/>
      <c r="H55" s="25">
        <f>E55*F55</f>
        <v>3.285</v>
      </c>
      <c r="I55" s="95">
        <f>E55*F55</f>
        <v>3.285</v>
      </c>
      <c r="J55" s="5"/>
    </row>
    <row r="56" spans="1:10" ht="15.75">
      <c r="A56" s="174"/>
      <c r="B56" s="24"/>
      <c r="C56" s="2"/>
      <c r="D56" s="2"/>
      <c r="E56" s="3"/>
      <c r="F56" s="14"/>
      <c r="G56" s="85">
        <v>0</v>
      </c>
      <c r="H56" s="254">
        <f>E55*F55</f>
        <v>3.285</v>
      </c>
      <c r="I56" s="95"/>
      <c r="J56" s="5"/>
    </row>
    <row r="57" spans="1:10" ht="15.75">
      <c r="A57" s="173" t="s">
        <v>480</v>
      </c>
      <c r="B57" s="24"/>
      <c r="C57" s="2"/>
      <c r="D57" s="2"/>
      <c r="E57" s="3"/>
      <c r="F57" s="14"/>
      <c r="G57" s="85"/>
      <c r="H57" s="85"/>
      <c r="I57" s="95"/>
      <c r="J57" s="5"/>
    </row>
    <row r="58" spans="1:10" ht="15.75">
      <c r="A58" s="172" t="s">
        <v>478</v>
      </c>
      <c r="B58" s="24" t="s">
        <v>481</v>
      </c>
      <c r="C58" s="24" t="s">
        <v>228</v>
      </c>
      <c r="D58" s="2" t="s">
        <v>229</v>
      </c>
      <c r="E58" s="266">
        <v>1</v>
      </c>
      <c r="F58" s="14">
        <f>+C78</f>
        <v>4.38</v>
      </c>
      <c r="G58" s="1"/>
      <c r="H58" s="25">
        <f>E58*F58</f>
        <v>4.38</v>
      </c>
      <c r="I58" s="95">
        <f>E58*F58</f>
        <v>4.38</v>
      </c>
      <c r="J58" s="5"/>
    </row>
    <row r="59" spans="1:10" ht="15.75">
      <c r="A59" s="174"/>
      <c r="B59" s="24"/>
      <c r="C59" s="24"/>
      <c r="D59" s="2"/>
      <c r="E59" s="3"/>
      <c r="F59" s="14"/>
      <c r="G59" s="85">
        <v>0</v>
      </c>
      <c r="H59" s="85">
        <f>E58*F58</f>
        <v>4.38</v>
      </c>
      <c r="I59" s="95"/>
      <c r="J59" s="5"/>
    </row>
    <row r="60" spans="1:10" ht="14.25" customHeight="1">
      <c r="A60" s="173" t="s">
        <v>482</v>
      </c>
      <c r="B60" s="24"/>
      <c r="C60" s="24"/>
      <c r="D60" s="2"/>
      <c r="E60" s="3"/>
      <c r="F60" s="14"/>
      <c r="G60" s="85"/>
      <c r="H60" s="85"/>
      <c r="I60" s="95"/>
      <c r="J60" s="5"/>
    </row>
    <row r="61" spans="1:10" ht="15.75">
      <c r="A61" s="174" t="s">
        <v>227</v>
      </c>
      <c r="B61" s="24" t="s">
        <v>483</v>
      </c>
      <c r="C61" s="2" t="s">
        <v>228</v>
      </c>
      <c r="D61" s="2" t="s">
        <v>229</v>
      </c>
      <c r="E61" s="266">
        <v>8.7</v>
      </c>
      <c r="F61" s="14">
        <f>+C78</f>
        <v>4.38</v>
      </c>
      <c r="G61" s="1"/>
      <c r="H61" s="25">
        <f>E61*F61</f>
        <v>38.105999999999995</v>
      </c>
      <c r="I61" s="95">
        <f>E61*F61</f>
        <v>38.105999999999995</v>
      </c>
      <c r="J61" s="5"/>
    </row>
    <row r="62" spans="1:10" ht="15.75">
      <c r="A62" s="174"/>
      <c r="B62" s="24"/>
      <c r="C62" s="2"/>
      <c r="D62" s="2"/>
      <c r="E62" s="3"/>
      <c r="F62" s="14"/>
      <c r="G62" s="85">
        <v>0</v>
      </c>
      <c r="H62" s="85">
        <f>E61*F61</f>
        <v>38.105999999999995</v>
      </c>
      <c r="I62" s="95"/>
      <c r="J62" s="5"/>
    </row>
    <row r="63" spans="1:10" ht="15.75">
      <c r="A63" s="173" t="s">
        <v>484</v>
      </c>
      <c r="B63" s="24"/>
      <c r="C63" s="2"/>
      <c r="D63" s="2"/>
      <c r="E63" s="3"/>
      <c r="F63" s="14"/>
      <c r="G63" s="85"/>
      <c r="H63" s="85"/>
      <c r="I63" s="95"/>
      <c r="J63" s="5"/>
    </row>
    <row r="64" spans="1:10" ht="15.75">
      <c r="A64" s="174" t="s">
        <v>227</v>
      </c>
      <c r="B64" s="24" t="s">
        <v>485</v>
      </c>
      <c r="C64" s="24" t="s">
        <v>228</v>
      </c>
      <c r="D64" s="2" t="s">
        <v>229</v>
      </c>
      <c r="E64" s="3">
        <v>0.28</v>
      </c>
      <c r="F64" s="14">
        <f>+C78</f>
        <v>4.38</v>
      </c>
      <c r="G64" s="1"/>
      <c r="H64" s="25">
        <f>E64*F64</f>
        <v>1.2264000000000002</v>
      </c>
      <c r="I64" s="95">
        <f>E64*F64</f>
        <v>1.2264000000000002</v>
      </c>
      <c r="J64" s="5"/>
    </row>
    <row r="65" spans="1:10" ht="15.75">
      <c r="A65" s="174"/>
      <c r="B65" s="24"/>
      <c r="C65" s="24"/>
      <c r="D65" s="2"/>
      <c r="E65" s="3"/>
      <c r="F65" s="14"/>
      <c r="G65" s="85">
        <v>0</v>
      </c>
      <c r="H65" s="254">
        <f>E64*F64</f>
        <v>1.2264000000000002</v>
      </c>
      <c r="I65" s="95"/>
      <c r="J65" s="5"/>
    </row>
    <row r="66" spans="1:10" ht="15.75">
      <c r="A66" s="173" t="s">
        <v>486</v>
      </c>
      <c r="B66" s="24"/>
      <c r="C66" s="24"/>
      <c r="D66" s="2"/>
      <c r="E66" s="3"/>
      <c r="F66" s="14"/>
      <c r="G66" s="85"/>
      <c r="H66" s="85"/>
      <c r="I66" s="95"/>
      <c r="J66" s="5"/>
    </row>
    <row r="67" spans="1:10" ht="15.75">
      <c r="A67" s="174" t="s">
        <v>227</v>
      </c>
      <c r="B67" s="24" t="s">
        <v>487</v>
      </c>
      <c r="C67" s="2" t="s">
        <v>228</v>
      </c>
      <c r="D67" s="2" t="s">
        <v>229</v>
      </c>
      <c r="E67" s="3">
        <v>0.22</v>
      </c>
      <c r="F67" s="14">
        <f>+C78</f>
        <v>4.38</v>
      </c>
      <c r="G67" s="1"/>
      <c r="H67" s="25">
        <f>E67*F67</f>
        <v>0.9636</v>
      </c>
      <c r="I67" s="95">
        <f>E67*F67</f>
        <v>0.9636</v>
      </c>
      <c r="J67" s="5"/>
    </row>
    <row r="68" spans="1:10" ht="15.75">
      <c r="A68" s="174"/>
      <c r="B68" s="24"/>
      <c r="C68" s="2"/>
      <c r="D68" s="2"/>
      <c r="E68" s="3"/>
      <c r="F68" s="14"/>
      <c r="G68" s="85">
        <v>0</v>
      </c>
      <c r="H68" s="254">
        <f>E67*F67</f>
        <v>0.9636</v>
      </c>
      <c r="I68" s="95"/>
      <c r="J68" s="5"/>
    </row>
    <row r="69" spans="1:10" ht="15.75">
      <c r="A69" s="173" t="s">
        <v>488</v>
      </c>
      <c r="B69" s="24"/>
      <c r="C69" s="2"/>
      <c r="D69" s="2"/>
      <c r="E69" s="3"/>
      <c r="F69" s="14"/>
      <c r="G69" s="85"/>
      <c r="H69" s="85"/>
      <c r="I69" s="95"/>
      <c r="J69" s="5"/>
    </row>
    <row r="70" spans="1:10" ht="15.75">
      <c r="A70" s="173" t="s">
        <v>489</v>
      </c>
      <c r="B70" s="24"/>
      <c r="C70" s="2"/>
      <c r="D70" s="2"/>
      <c r="E70" s="3"/>
      <c r="F70" s="14"/>
      <c r="G70" s="85"/>
      <c r="H70" s="85"/>
      <c r="I70" s="95"/>
      <c r="J70" s="5"/>
    </row>
    <row r="71" spans="1:10" ht="15.75">
      <c r="A71" s="174" t="s">
        <v>289</v>
      </c>
      <c r="B71" s="24" t="s">
        <v>490</v>
      </c>
      <c r="C71" s="2" t="s">
        <v>228</v>
      </c>
      <c r="D71" s="2" t="s">
        <v>290</v>
      </c>
      <c r="E71" s="3">
        <v>0.05</v>
      </c>
      <c r="F71" s="14">
        <f>+C77</f>
        <v>6.89</v>
      </c>
      <c r="G71" s="1"/>
      <c r="H71" s="271">
        <f>E71*F71</f>
        <v>0.34450000000000003</v>
      </c>
      <c r="I71" s="95">
        <f>SUM(H71,H72)</f>
        <v>3.9798999999999998</v>
      </c>
      <c r="J71" s="5"/>
    </row>
    <row r="72" spans="1:10" ht="15.75">
      <c r="A72" s="174" t="s">
        <v>227</v>
      </c>
      <c r="B72" s="24"/>
      <c r="C72" s="2" t="s">
        <v>228</v>
      </c>
      <c r="D72" s="2" t="s">
        <v>229</v>
      </c>
      <c r="E72" s="3">
        <v>0.83</v>
      </c>
      <c r="F72" s="14">
        <f>+C78</f>
        <v>4.38</v>
      </c>
      <c r="G72" s="1"/>
      <c r="H72" s="271">
        <f>E72*F72</f>
        <v>3.6353999999999997</v>
      </c>
      <c r="I72" s="95"/>
      <c r="J72" s="5"/>
    </row>
    <row r="73" spans="1:10" ht="16.5" thickBot="1">
      <c r="A73" s="93"/>
      <c r="B73" s="16"/>
      <c r="C73" s="16"/>
      <c r="D73" s="16"/>
      <c r="E73" s="16"/>
      <c r="F73" s="16"/>
      <c r="G73" s="66">
        <v>0</v>
      </c>
      <c r="H73" s="253">
        <f>SUM(H71,H72)</f>
        <v>3.9798999999999998</v>
      </c>
      <c r="I73" s="94"/>
      <c r="J73" s="20"/>
    </row>
    <row r="74" ht="13.5" thickTop="1"/>
    <row r="77" spans="1:10" ht="15.75">
      <c r="A77" s="21"/>
      <c r="B77" s="301" t="s">
        <v>290</v>
      </c>
      <c r="C77" s="40">
        <v>6.89</v>
      </c>
      <c r="D77" s="40"/>
      <c r="E77" s="23"/>
      <c r="F77" s="21"/>
      <c r="G77" s="21"/>
      <c r="H77" s="21"/>
      <c r="I77" s="21"/>
      <c r="J77" s="21"/>
    </row>
    <row r="78" spans="1:10" ht="15.75">
      <c r="A78" s="22"/>
      <c r="B78" s="301" t="s">
        <v>229</v>
      </c>
      <c r="C78" s="40">
        <v>4.38</v>
      </c>
      <c r="D78" s="40"/>
      <c r="E78" s="23"/>
      <c r="F78" s="21"/>
      <c r="G78" s="21"/>
      <c r="H78" s="21"/>
      <c r="I78" s="21"/>
      <c r="J78" s="21"/>
    </row>
    <row r="79" spans="1:10" ht="15.75">
      <c r="A79" s="22"/>
      <c r="B79" s="40"/>
      <c r="C79" s="40"/>
      <c r="D79" s="40"/>
      <c r="E79" s="23"/>
      <c r="F79" s="21"/>
      <c r="G79" s="21"/>
      <c r="H79" s="21"/>
      <c r="I79" s="21"/>
      <c r="J79" s="21"/>
    </row>
    <row r="112" spans="1:10" ht="15.75">
      <c r="A112" s="22"/>
      <c r="B112" s="40"/>
      <c r="C112" s="40"/>
      <c r="D112" s="40"/>
      <c r="E112" s="23"/>
      <c r="F112" s="21"/>
      <c r="G112" s="21"/>
      <c r="H112" s="21"/>
      <c r="I112" s="21"/>
      <c r="J112" s="21"/>
    </row>
    <row r="113" spans="1:10" ht="15.75">
      <c r="A113" s="22"/>
      <c r="B113" s="40"/>
      <c r="C113" s="40"/>
      <c r="D113" s="40"/>
      <c r="E113" s="23"/>
      <c r="F113" s="21"/>
      <c r="G113" s="21"/>
      <c r="H113" s="21"/>
      <c r="I113" s="21"/>
      <c r="J113" s="21"/>
    </row>
    <row r="114" spans="1:10" ht="15.75">
      <c r="A114" s="22"/>
      <c r="B114" s="40"/>
      <c r="C114" s="40"/>
      <c r="D114" s="40"/>
      <c r="E114" s="23"/>
      <c r="F114" s="21"/>
      <c r="G114" s="21"/>
      <c r="H114" s="21"/>
      <c r="I114" s="21"/>
      <c r="J114" s="21"/>
    </row>
    <row r="115" spans="1:10" ht="15.75">
      <c r="A115" s="22"/>
      <c r="B115" s="40"/>
      <c r="C115" s="40"/>
      <c r="D115" s="40"/>
      <c r="E115" s="23"/>
      <c r="F115" s="21"/>
      <c r="G115" s="21"/>
      <c r="H115" s="21"/>
      <c r="I115" s="21"/>
      <c r="J115" s="21"/>
    </row>
    <row r="116" spans="1:10" ht="15.75">
      <c r="A116" s="22"/>
      <c r="B116" s="40"/>
      <c r="C116" s="40"/>
      <c r="D116" s="40"/>
      <c r="E116" s="23"/>
      <c r="F116" s="21"/>
      <c r="G116" s="21"/>
      <c r="H116" s="21"/>
      <c r="I116" s="21"/>
      <c r="J116" s="21"/>
    </row>
    <row r="117" spans="1:10" ht="15.75">
      <c r="A117" s="22"/>
      <c r="B117" s="40"/>
      <c r="C117" s="40"/>
      <c r="D117" s="40"/>
      <c r="E117" s="23"/>
      <c r="F117" s="21"/>
      <c r="G117" s="21"/>
      <c r="H117" s="21"/>
      <c r="I117" s="21"/>
      <c r="J117" s="21"/>
    </row>
    <row r="118" spans="1:10" ht="15.75">
      <c r="A118" s="22"/>
      <c r="B118" s="40"/>
      <c r="C118" s="40"/>
      <c r="D118" s="40"/>
      <c r="E118" s="23"/>
      <c r="F118" s="21"/>
      <c r="G118" s="21"/>
      <c r="H118" s="21"/>
      <c r="I118" s="21"/>
      <c r="J118" s="21"/>
    </row>
    <row r="119" spans="1:10" ht="15.75">
      <c r="A119" s="21"/>
      <c r="B119" s="40"/>
      <c r="C119" s="40"/>
      <c r="D119" s="40"/>
      <c r="E119" s="23"/>
      <c r="F119" s="21"/>
      <c r="G119" s="21"/>
      <c r="H119" s="21"/>
      <c r="I119" s="21"/>
      <c r="J119" s="21"/>
    </row>
    <row r="120" spans="1:10" ht="15.75">
      <c r="A120" s="22"/>
      <c r="B120" s="40"/>
      <c r="C120" s="40"/>
      <c r="D120" s="40"/>
      <c r="E120" s="23"/>
      <c r="F120" s="21"/>
      <c r="G120" s="21"/>
      <c r="H120" s="21"/>
      <c r="I120" s="21"/>
      <c r="J120" s="21"/>
    </row>
    <row r="121" spans="1:10" ht="15.75">
      <c r="A121" s="22"/>
      <c r="B121" s="40"/>
      <c r="C121" s="40"/>
      <c r="D121" s="40"/>
      <c r="E121" s="23"/>
      <c r="F121" s="21"/>
      <c r="G121" s="21"/>
      <c r="H121" s="21"/>
      <c r="I121" s="21"/>
      <c r="J121" s="21"/>
    </row>
    <row r="122" spans="1:10" ht="15.75">
      <c r="A122" s="22"/>
      <c r="B122" s="40"/>
      <c r="C122" s="40"/>
      <c r="D122" s="40"/>
      <c r="E122" s="23"/>
      <c r="F122" s="21"/>
      <c r="G122" s="21"/>
      <c r="H122" s="21"/>
      <c r="I122" s="21"/>
      <c r="J122" s="21"/>
    </row>
    <row r="123" spans="1:10" ht="15.75">
      <c r="A123" s="22"/>
      <c r="B123" s="40"/>
      <c r="C123" s="40"/>
      <c r="D123" s="40"/>
      <c r="E123" s="23"/>
      <c r="F123" s="21"/>
      <c r="G123" s="21"/>
      <c r="H123" s="21"/>
      <c r="I123" s="21"/>
      <c r="J123" s="21"/>
    </row>
    <row r="124" spans="1:10" ht="15.75">
      <c r="A124" s="22"/>
      <c r="B124" s="40"/>
      <c r="C124" s="40"/>
      <c r="D124" s="40"/>
      <c r="E124" s="23"/>
      <c r="F124" s="21"/>
      <c r="G124" s="21"/>
      <c r="H124" s="21"/>
      <c r="I124" s="21"/>
      <c r="J124" s="21"/>
    </row>
    <row r="125" spans="1:10" ht="15.75">
      <c r="A125" s="22"/>
      <c r="B125" s="40"/>
      <c r="C125" s="40"/>
      <c r="D125" s="40"/>
      <c r="E125" s="23"/>
      <c r="F125" s="21"/>
      <c r="G125" s="21"/>
      <c r="H125" s="21"/>
      <c r="I125" s="21"/>
      <c r="J125" s="21"/>
    </row>
    <row r="126" spans="1:10" ht="15.75">
      <c r="A126" s="22"/>
      <c r="B126" s="40"/>
      <c r="C126" s="40"/>
      <c r="D126" s="40"/>
      <c r="E126" s="23"/>
      <c r="F126" s="21"/>
      <c r="G126" s="21"/>
      <c r="H126" s="21"/>
      <c r="I126" s="21"/>
      <c r="J126" s="21"/>
    </row>
    <row r="127" spans="1:10" ht="15.75">
      <c r="A127" s="22"/>
      <c r="B127" s="40"/>
      <c r="C127" s="40"/>
      <c r="D127" s="40"/>
      <c r="E127" s="23"/>
      <c r="F127" s="21"/>
      <c r="G127" s="21"/>
      <c r="H127" s="21"/>
      <c r="I127" s="21"/>
      <c r="J127" s="21"/>
    </row>
    <row r="128" spans="1:10" ht="15.75">
      <c r="A128" s="22"/>
      <c r="B128" s="40"/>
      <c r="C128" s="40"/>
      <c r="D128" s="40"/>
      <c r="E128" s="23"/>
      <c r="F128" s="21"/>
      <c r="G128" s="21"/>
      <c r="H128" s="21"/>
      <c r="I128" s="21"/>
      <c r="J128" s="21"/>
    </row>
    <row r="129" spans="1:10" ht="15.75">
      <c r="A129" s="22"/>
      <c r="B129" s="40"/>
      <c r="C129" s="40"/>
      <c r="D129" s="40"/>
      <c r="E129" s="23"/>
      <c r="F129" s="21"/>
      <c r="G129" s="21"/>
      <c r="H129" s="21"/>
      <c r="I129" s="21"/>
      <c r="J129" s="21"/>
    </row>
    <row r="130" spans="1:10" ht="15.75">
      <c r="A130" s="22"/>
      <c r="B130" s="40"/>
      <c r="C130" s="40"/>
      <c r="D130" s="40"/>
      <c r="E130" s="23"/>
      <c r="F130" s="21"/>
      <c r="G130" s="21"/>
      <c r="H130" s="21"/>
      <c r="I130" s="21"/>
      <c r="J130" s="21"/>
    </row>
    <row r="131" spans="1:10" ht="15.75">
      <c r="A131" s="22"/>
      <c r="B131" s="40"/>
      <c r="C131" s="40"/>
      <c r="D131" s="40"/>
      <c r="E131" s="23"/>
      <c r="F131" s="21"/>
      <c r="G131" s="21"/>
      <c r="H131" s="21"/>
      <c r="I131" s="21"/>
      <c r="J131" s="21"/>
    </row>
    <row r="132" spans="1:10" ht="15.75">
      <c r="A132" s="22"/>
      <c r="B132" s="40"/>
      <c r="C132" s="40"/>
      <c r="D132" s="40"/>
      <c r="E132" s="23"/>
      <c r="F132" s="21"/>
      <c r="G132" s="21"/>
      <c r="H132" s="21"/>
      <c r="I132" s="21"/>
      <c r="J132" s="21"/>
    </row>
    <row r="133" spans="1:10" ht="15.75">
      <c r="A133" s="22"/>
      <c r="B133" s="40"/>
      <c r="C133" s="40"/>
      <c r="D133" s="40"/>
      <c r="E133" s="23"/>
      <c r="F133" s="21"/>
      <c r="G133" s="21"/>
      <c r="H133" s="21"/>
      <c r="I133" s="21"/>
      <c r="J133" s="21"/>
    </row>
    <row r="134" spans="1:10" ht="15.75">
      <c r="A134" s="22"/>
      <c r="B134" s="40"/>
      <c r="C134" s="40"/>
      <c r="D134" s="40"/>
      <c r="E134" s="23"/>
      <c r="F134" s="21"/>
      <c r="G134" s="21"/>
      <c r="H134" s="21"/>
      <c r="I134" s="21"/>
      <c r="J134" s="21"/>
    </row>
    <row r="135" spans="1:10" ht="15.75">
      <c r="A135" s="22"/>
      <c r="B135" s="40"/>
      <c r="C135" s="40"/>
      <c r="D135" s="40"/>
      <c r="E135" s="23"/>
      <c r="F135" s="21"/>
      <c r="G135" s="21"/>
      <c r="H135" s="21"/>
      <c r="I135" s="21"/>
      <c r="J135" s="21"/>
    </row>
    <row r="136" spans="1:10" ht="15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</row>
    <row r="137" spans="1:10" ht="15.75">
      <c r="A137" s="42"/>
      <c r="B137" s="42"/>
      <c r="C137" s="42"/>
      <c r="D137" s="42"/>
      <c r="E137" s="43"/>
      <c r="F137" s="42"/>
      <c r="G137" s="42"/>
      <c r="H137" s="42"/>
      <c r="I137" s="42"/>
      <c r="J137" s="42"/>
    </row>
    <row r="138" spans="1:10" ht="15.75">
      <c r="A138" s="22"/>
      <c r="B138" s="40"/>
      <c r="C138" s="22"/>
      <c r="D138" s="22"/>
      <c r="E138" s="23"/>
      <c r="F138" s="21"/>
      <c r="G138" s="21"/>
      <c r="H138" s="21"/>
      <c r="I138" s="21"/>
      <c r="J138" s="21"/>
    </row>
    <row r="139" spans="1:10" ht="15.75">
      <c r="A139" s="22"/>
      <c r="B139" s="40"/>
      <c r="C139" s="40"/>
      <c r="D139" s="40"/>
      <c r="E139" s="23"/>
      <c r="F139" s="21"/>
      <c r="G139" s="21"/>
      <c r="H139" s="21"/>
      <c r="I139" s="21"/>
      <c r="J139" s="21"/>
    </row>
    <row r="140" spans="1:10" ht="15.75">
      <c r="A140" s="22"/>
      <c r="B140" s="40"/>
      <c r="C140" s="40"/>
      <c r="D140" s="40"/>
      <c r="E140" s="23"/>
      <c r="F140" s="21"/>
      <c r="G140" s="21"/>
      <c r="H140" s="21"/>
      <c r="I140" s="21"/>
      <c r="J140" s="21"/>
    </row>
    <row r="141" spans="1:10" ht="15.75">
      <c r="A141" s="22"/>
      <c r="B141" s="40"/>
      <c r="C141" s="40"/>
      <c r="D141" s="40"/>
      <c r="E141" s="23"/>
      <c r="F141" s="21"/>
      <c r="G141" s="21"/>
      <c r="H141" s="21"/>
      <c r="I141" s="21"/>
      <c r="J141" s="21"/>
    </row>
    <row r="142" spans="1:10" ht="15.75">
      <c r="A142" s="22"/>
      <c r="B142" s="40"/>
      <c r="C142" s="40"/>
      <c r="D142" s="40"/>
      <c r="E142" s="23"/>
      <c r="F142" s="21"/>
      <c r="G142" s="21"/>
      <c r="H142" s="21"/>
      <c r="I142" s="21"/>
      <c r="J142" s="21"/>
    </row>
    <row r="143" spans="1:10" ht="15.75">
      <c r="A143" s="22"/>
      <c r="B143" s="40"/>
      <c r="C143" s="40"/>
      <c r="D143" s="40"/>
      <c r="E143" s="23"/>
      <c r="F143" s="21"/>
      <c r="G143" s="21"/>
      <c r="H143" s="21"/>
      <c r="I143" s="21"/>
      <c r="J143" s="21"/>
    </row>
    <row r="144" spans="1:10" ht="15.75">
      <c r="A144" s="22"/>
      <c r="B144" s="40"/>
      <c r="C144" s="40"/>
      <c r="D144" s="40"/>
      <c r="E144" s="23"/>
      <c r="F144" s="21"/>
      <c r="G144" s="21"/>
      <c r="H144" s="21"/>
      <c r="I144" s="21"/>
      <c r="J144" s="21"/>
    </row>
    <row r="145" spans="1:10" ht="15.75">
      <c r="A145" s="22"/>
      <c r="B145" s="40"/>
      <c r="C145" s="40"/>
      <c r="D145" s="40"/>
      <c r="E145" s="23"/>
      <c r="F145" s="21"/>
      <c r="G145" s="21"/>
      <c r="H145" s="21"/>
      <c r="I145" s="21"/>
      <c r="J145" s="21"/>
    </row>
    <row r="146" spans="1:10" ht="15.75">
      <c r="A146" s="22"/>
      <c r="B146" s="40"/>
      <c r="C146" s="40"/>
      <c r="D146" s="40"/>
      <c r="E146" s="23"/>
      <c r="F146" s="21"/>
      <c r="G146" s="21"/>
      <c r="H146" s="21"/>
      <c r="I146" s="21"/>
      <c r="J146" s="21"/>
    </row>
    <row r="147" spans="1:10" ht="15.75">
      <c r="A147" s="22"/>
      <c r="B147" s="40"/>
      <c r="C147" s="40"/>
      <c r="D147" s="40"/>
      <c r="E147" s="23"/>
      <c r="F147" s="21"/>
      <c r="G147" s="21"/>
      <c r="H147" s="21"/>
      <c r="I147" s="21"/>
      <c r="J147" s="21"/>
    </row>
    <row r="148" spans="1:10" ht="15.75">
      <c r="A148" s="22"/>
      <c r="B148" s="40"/>
      <c r="C148" s="40"/>
      <c r="D148" s="40"/>
      <c r="E148" s="23"/>
      <c r="F148" s="21"/>
      <c r="G148" s="21"/>
      <c r="H148" s="21"/>
      <c r="I148" s="21"/>
      <c r="J148" s="21"/>
    </row>
    <row r="149" spans="1:10" ht="15.75">
      <c r="A149" s="22"/>
      <c r="B149" s="40"/>
      <c r="C149" s="40"/>
      <c r="D149" s="40"/>
      <c r="E149" s="23"/>
      <c r="F149" s="21"/>
      <c r="G149" s="21"/>
      <c r="H149" s="21"/>
      <c r="I149" s="21"/>
      <c r="J149" s="21"/>
    </row>
    <row r="150" spans="1:10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</sheetData>
  <printOptions horizontalCentered="1" verticalCentered="1"/>
  <pageMargins left="0.037401575" right="0.037401575" top="1" bottom="1" header="0" footer="0"/>
  <pageSetup horizontalDpi="200" verticalDpi="2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F63" sqref="F63"/>
    </sheetView>
  </sheetViews>
  <sheetFormatPr defaultColWidth="11.421875" defaultRowHeight="12.75"/>
  <cols>
    <col min="1" max="1" width="52.28125" style="0" customWidth="1"/>
    <col min="2" max="2" width="6.28125" style="0" customWidth="1"/>
    <col min="3" max="3" width="9.00390625" style="0" customWidth="1"/>
    <col min="4" max="4" width="8.7109375" style="0" customWidth="1"/>
    <col min="5" max="5" width="10.7109375" style="0" customWidth="1"/>
    <col min="6" max="6" width="9.00390625" style="0" customWidth="1"/>
    <col min="7" max="7" width="10.28125" style="0" customWidth="1"/>
    <col min="8" max="8" width="9.00390625" style="0" customWidth="1"/>
    <col min="9" max="9" width="10.28125" style="0" customWidth="1"/>
    <col min="10" max="10" width="92.00390625" style="0" customWidth="1"/>
  </cols>
  <sheetData>
    <row r="1" spans="1:10" ht="17.25" thickBot="1" thickTop="1">
      <c r="A1" s="275" t="s">
        <v>491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48" thickTop="1">
      <c r="A2" s="286" t="s">
        <v>214</v>
      </c>
      <c r="B2" s="287" t="s">
        <v>215</v>
      </c>
      <c r="C2" s="287" t="s">
        <v>216</v>
      </c>
      <c r="D2" s="288" t="s">
        <v>217</v>
      </c>
      <c r="E2" s="288" t="s">
        <v>218</v>
      </c>
      <c r="F2" s="288" t="s">
        <v>219</v>
      </c>
      <c r="G2" s="287" t="s">
        <v>220</v>
      </c>
      <c r="H2" s="288" t="s">
        <v>221</v>
      </c>
      <c r="I2" s="287" t="s">
        <v>222</v>
      </c>
      <c r="J2" s="289" t="s">
        <v>223</v>
      </c>
    </row>
    <row r="3" spans="1:10" ht="15.75">
      <c r="A3" s="171">
        <v>5.1</v>
      </c>
      <c r="B3" s="132"/>
      <c r="C3" s="132"/>
      <c r="D3" s="133"/>
      <c r="E3" s="133"/>
      <c r="F3" s="133"/>
      <c r="G3" s="132"/>
      <c r="H3" s="133"/>
      <c r="I3" s="124"/>
      <c r="J3" s="134"/>
    </row>
    <row r="4" spans="1:10" ht="15.75">
      <c r="A4" s="179" t="s">
        <v>492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s="1" customFormat="1" ht="15.75">
      <c r="A5" s="179" t="s">
        <v>493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s="1" customFormat="1" ht="15.75">
      <c r="A6" s="174" t="s">
        <v>289</v>
      </c>
      <c r="B6" s="24"/>
      <c r="C6" s="2" t="s">
        <v>228</v>
      </c>
      <c r="D6" s="2" t="s">
        <v>290</v>
      </c>
      <c r="E6" s="3">
        <v>0.14</v>
      </c>
      <c r="F6" s="14">
        <f>+C69</f>
        <v>6.89</v>
      </c>
      <c r="H6" s="271">
        <f>E6*F6</f>
        <v>0.9646</v>
      </c>
      <c r="I6" s="95">
        <f>SUM(H6:H7)</f>
        <v>1.5778</v>
      </c>
      <c r="J6" s="5"/>
    </row>
    <row r="7" spans="1:10" ht="15.75">
      <c r="A7" s="174" t="s">
        <v>227</v>
      </c>
      <c r="B7" s="24"/>
      <c r="C7" s="2" t="s">
        <v>228</v>
      </c>
      <c r="D7" s="2" t="s">
        <v>229</v>
      </c>
      <c r="E7" s="3">
        <v>0.14</v>
      </c>
      <c r="F7" s="14">
        <f>+C70</f>
        <v>4.38</v>
      </c>
      <c r="G7" s="1"/>
      <c r="H7" s="271">
        <f>E7*F7</f>
        <v>0.6132000000000001</v>
      </c>
      <c r="I7" s="95"/>
      <c r="J7" s="5"/>
    </row>
    <row r="8" spans="1:10" ht="16.5" thickBot="1">
      <c r="A8" s="90"/>
      <c r="B8" s="28"/>
      <c r="C8" s="7"/>
      <c r="D8" s="7"/>
      <c r="E8" s="8"/>
      <c r="F8" s="10"/>
      <c r="G8" s="67">
        <v>0</v>
      </c>
      <c r="H8" s="252">
        <f>SUM(H6:H7)</f>
        <v>1.5778</v>
      </c>
      <c r="I8" s="88"/>
      <c r="J8" s="11"/>
    </row>
    <row r="9" spans="1:10" ht="16.5" thickTop="1">
      <c r="A9" s="122">
        <v>5.2</v>
      </c>
      <c r="B9" s="69"/>
      <c r="C9" s="56"/>
      <c r="D9" s="56"/>
      <c r="E9" s="70"/>
      <c r="F9" s="84"/>
      <c r="G9" s="115"/>
      <c r="H9" s="115"/>
      <c r="I9" s="89"/>
      <c r="J9" s="71"/>
    </row>
    <row r="10" spans="1:10" ht="15.75">
      <c r="A10" s="123" t="s">
        <v>494</v>
      </c>
      <c r="B10" s="24"/>
      <c r="C10" s="2"/>
      <c r="D10" s="2"/>
      <c r="E10" s="3"/>
      <c r="F10" s="14"/>
      <c r="G10" s="85"/>
      <c r="H10" s="85"/>
      <c r="I10" s="95"/>
      <c r="J10" s="5"/>
    </row>
    <row r="11" spans="1:10" ht="15.75">
      <c r="A11" s="123" t="s">
        <v>495</v>
      </c>
      <c r="B11" s="24"/>
      <c r="C11" s="2"/>
      <c r="D11" s="2"/>
      <c r="E11" s="3"/>
      <c r="F11" s="14"/>
      <c r="G11" s="85"/>
      <c r="H11" s="85"/>
      <c r="I11" s="95"/>
      <c r="J11" s="5"/>
    </row>
    <row r="12" spans="1:10" ht="15.75">
      <c r="A12" s="173" t="s">
        <v>496</v>
      </c>
      <c r="B12" s="24"/>
      <c r="C12" s="2"/>
      <c r="D12" s="2"/>
      <c r="E12" s="3"/>
      <c r="F12" s="14"/>
      <c r="G12" s="85"/>
      <c r="H12" s="85"/>
      <c r="I12" s="95"/>
      <c r="J12" s="5"/>
    </row>
    <row r="13" spans="1:10" ht="15.75">
      <c r="A13" s="173" t="s">
        <v>497</v>
      </c>
      <c r="B13" s="24"/>
      <c r="C13" s="2"/>
      <c r="D13" s="2"/>
      <c r="E13" s="3"/>
      <c r="F13" s="14"/>
      <c r="G13" s="85"/>
      <c r="H13" s="85"/>
      <c r="I13" s="95"/>
      <c r="J13" s="5"/>
    </row>
    <row r="14" spans="1:10" ht="15.75">
      <c r="A14" s="174" t="s">
        <v>289</v>
      </c>
      <c r="B14" s="24"/>
      <c r="C14" s="2" t="s">
        <v>228</v>
      </c>
      <c r="D14" s="2" t="s">
        <v>290</v>
      </c>
      <c r="E14" s="3">
        <v>0.22</v>
      </c>
      <c r="F14" s="14">
        <f>+C69</f>
        <v>6.89</v>
      </c>
      <c r="G14" s="1"/>
      <c r="H14" s="271">
        <f>E14*F14</f>
        <v>1.5158</v>
      </c>
      <c r="I14" s="95">
        <f>SUM(H14:H15)</f>
        <v>2.2166</v>
      </c>
      <c r="J14" s="5"/>
    </row>
    <row r="15" spans="1:10" ht="15.75">
      <c r="A15" s="101" t="s">
        <v>227</v>
      </c>
      <c r="B15" s="24"/>
      <c r="C15" s="2" t="s">
        <v>228</v>
      </c>
      <c r="D15" s="2" t="s">
        <v>229</v>
      </c>
      <c r="E15" s="3">
        <v>0.16</v>
      </c>
      <c r="F15" s="14">
        <f>+C70</f>
        <v>4.38</v>
      </c>
      <c r="G15" s="1"/>
      <c r="H15" s="271">
        <f>E15*F15</f>
        <v>0.7008</v>
      </c>
      <c r="I15" s="95"/>
      <c r="J15" s="5"/>
    </row>
    <row r="16" spans="1:10" ht="16.5" thickBot="1">
      <c r="A16" s="90"/>
      <c r="B16" s="28"/>
      <c r="C16" s="7"/>
      <c r="D16" s="7"/>
      <c r="E16" s="8"/>
      <c r="F16" s="10"/>
      <c r="G16" s="67">
        <v>0</v>
      </c>
      <c r="H16" s="252">
        <f>SUM(H14:H15)</f>
        <v>2.2166</v>
      </c>
      <c r="I16" s="88"/>
      <c r="J16" s="11"/>
    </row>
    <row r="17" spans="1:10" ht="16.5" thickTop="1">
      <c r="A17" s="122">
        <v>5.3</v>
      </c>
      <c r="B17" s="69"/>
      <c r="C17" s="56"/>
      <c r="D17" s="56"/>
      <c r="E17" s="70"/>
      <c r="F17" s="84"/>
      <c r="G17" s="115"/>
      <c r="H17" s="115"/>
      <c r="I17" s="89"/>
      <c r="J17" s="71"/>
    </row>
    <row r="18" spans="1:10" ht="15.75">
      <c r="A18" s="123" t="s">
        <v>498</v>
      </c>
      <c r="B18" s="24"/>
      <c r="C18" s="2"/>
      <c r="D18" s="2"/>
      <c r="E18" s="3"/>
      <c r="F18" s="14"/>
      <c r="G18" s="85"/>
      <c r="H18" s="85"/>
      <c r="I18" s="95"/>
      <c r="J18" s="5"/>
    </row>
    <row r="19" spans="1:10" ht="15.75">
      <c r="A19" s="123" t="s">
        <v>499</v>
      </c>
      <c r="B19" s="24"/>
      <c r="C19" s="2"/>
      <c r="D19" s="2"/>
      <c r="E19" s="3"/>
      <c r="F19" s="14"/>
      <c r="G19" s="85"/>
      <c r="H19" s="85"/>
      <c r="I19" s="95"/>
      <c r="J19" s="5"/>
    </row>
    <row r="20" spans="1:10" ht="15.75">
      <c r="A20" s="123" t="s">
        <v>500</v>
      </c>
      <c r="B20" s="24"/>
      <c r="C20" s="2"/>
      <c r="D20" s="2"/>
      <c r="E20" s="3"/>
      <c r="F20" s="14"/>
      <c r="G20" s="85"/>
      <c r="H20" s="85"/>
      <c r="I20" s="95"/>
      <c r="J20" s="5"/>
    </row>
    <row r="21" spans="1:10" ht="15.75">
      <c r="A21" s="174" t="s">
        <v>289</v>
      </c>
      <c r="B21" s="24"/>
      <c r="C21" s="2" t="s">
        <v>228</v>
      </c>
      <c r="D21" s="2" t="s">
        <v>290</v>
      </c>
      <c r="E21" s="3">
        <v>0.29</v>
      </c>
      <c r="F21" s="14">
        <f>+C69</f>
        <v>6.89</v>
      </c>
      <c r="G21" s="1"/>
      <c r="H21" s="271">
        <f>E21*F21</f>
        <v>1.9980999999999998</v>
      </c>
      <c r="I21" s="95">
        <f>SUM(H21:H22)</f>
        <v>4.538499999999999</v>
      </c>
      <c r="J21" s="5"/>
    </row>
    <row r="22" spans="1:10" ht="15.75">
      <c r="A22" s="101" t="s">
        <v>227</v>
      </c>
      <c r="B22" s="24"/>
      <c r="C22" s="2" t="s">
        <v>228</v>
      </c>
      <c r="D22" s="2" t="s">
        <v>229</v>
      </c>
      <c r="E22" s="3">
        <v>0.58</v>
      </c>
      <c r="F22" s="14">
        <f>+C70</f>
        <v>4.38</v>
      </c>
      <c r="G22" s="1"/>
      <c r="H22" s="271">
        <f>E22*F22</f>
        <v>2.5403999999999995</v>
      </c>
      <c r="I22" s="95"/>
      <c r="J22" s="5"/>
    </row>
    <row r="23" spans="1:10" ht="16.5" thickBot="1">
      <c r="A23" s="90"/>
      <c r="B23" s="28"/>
      <c r="C23" s="7"/>
      <c r="D23" s="7"/>
      <c r="E23" s="8"/>
      <c r="F23" s="10"/>
      <c r="G23" s="67">
        <v>0</v>
      </c>
      <c r="H23" s="252">
        <f>SUM(H21:H22)</f>
        <v>4.538499999999999</v>
      </c>
      <c r="I23" s="88"/>
      <c r="J23" s="11"/>
    </row>
    <row r="24" spans="1:10" ht="16.5" thickTop="1">
      <c r="A24" s="122">
        <v>5.4</v>
      </c>
      <c r="B24" s="69"/>
      <c r="C24" s="56"/>
      <c r="D24" s="56"/>
      <c r="E24" s="70"/>
      <c r="F24" s="84"/>
      <c r="G24" s="115"/>
      <c r="H24" s="115"/>
      <c r="I24" s="89"/>
      <c r="J24" s="71"/>
    </row>
    <row r="25" spans="1:10" ht="15.75">
      <c r="A25" s="123" t="s">
        <v>501</v>
      </c>
      <c r="B25" s="24"/>
      <c r="C25" s="2"/>
      <c r="D25" s="2"/>
      <c r="E25" s="3"/>
      <c r="F25" s="14"/>
      <c r="G25" s="85"/>
      <c r="H25" s="85"/>
      <c r="I25" s="95"/>
      <c r="J25" s="5"/>
    </row>
    <row r="26" spans="1:10" ht="15.75">
      <c r="A26" s="123" t="s">
        <v>502</v>
      </c>
      <c r="B26" s="24"/>
      <c r="C26" s="2"/>
      <c r="D26" s="2"/>
      <c r="E26" s="3"/>
      <c r="F26" s="14"/>
      <c r="G26" s="85"/>
      <c r="H26" s="85"/>
      <c r="I26" s="95"/>
      <c r="J26" s="5"/>
    </row>
    <row r="27" spans="1:10" ht="15.75">
      <c r="A27" s="123" t="s">
        <v>497</v>
      </c>
      <c r="B27" s="24"/>
      <c r="C27" s="2"/>
      <c r="D27" s="2"/>
      <c r="E27" s="3"/>
      <c r="F27" s="14"/>
      <c r="G27" s="85"/>
      <c r="H27" s="85"/>
      <c r="I27" s="95"/>
      <c r="J27" s="5"/>
    </row>
    <row r="28" spans="1:10" ht="15.75">
      <c r="A28" s="174" t="s">
        <v>289</v>
      </c>
      <c r="B28" s="24"/>
      <c r="C28" s="2" t="s">
        <v>228</v>
      </c>
      <c r="D28" s="2" t="s">
        <v>290</v>
      </c>
      <c r="E28" s="266">
        <v>0.5</v>
      </c>
      <c r="F28" s="14">
        <f>+C69</f>
        <v>6.89</v>
      </c>
      <c r="G28" s="1"/>
      <c r="H28" s="271">
        <f>E28*F28</f>
        <v>3.445</v>
      </c>
      <c r="I28" s="95">
        <f>SUM(H28:H29)</f>
        <v>4.54</v>
      </c>
      <c r="J28" s="5"/>
    </row>
    <row r="29" spans="1:10" ht="15.75">
      <c r="A29" s="101" t="s">
        <v>227</v>
      </c>
      <c r="B29" s="24"/>
      <c r="C29" s="2" t="s">
        <v>228</v>
      </c>
      <c r="D29" s="2" t="s">
        <v>229</v>
      </c>
      <c r="E29" s="3">
        <v>0.25</v>
      </c>
      <c r="F29" s="14">
        <f>+C70</f>
        <v>4.38</v>
      </c>
      <c r="G29" s="1"/>
      <c r="H29" s="271">
        <f>E29*F29</f>
        <v>1.095</v>
      </c>
      <c r="I29" s="95"/>
      <c r="J29" s="5"/>
    </row>
    <row r="30" spans="1:10" ht="16.5" thickBot="1">
      <c r="A30" s="90"/>
      <c r="B30" s="28"/>
      <c r="C30" s="7"/>
      <c r="D30" s="7"/>
      <c r="E30" s="8"/>
      <c r="F30" s="10"/>
      <c r="G30" s="67">
        <v>0</v>
      </c>
      <c r="H30" s="252">
        <f>SUM(H28:H29)</f>
        <v>4.54</v>
      </c>
      <c r="I30" s="88"/>
      <c r="J30" s="11"/>
    </row>
    <row r="31" spans="1:10" ht="16.5" thickTop="1">
      <c r="A31" s="101">
        <v>5.5</v>
      </c>
      <c r="B31" s="69"/>
      <c r="C31" s="56"/>
      <c r="D31" s="56"/>
      <c r="E31" s="70"/>
      <c r="F31" s="84"/>
      <c r="G31" s="115"/>
      <c r="H31" s="115"/>
      <c r="I31" s="89"/>
      <c r="J31" s="71"/>
    </row>
    <row r="32" spans="1:10" ht="15.75">
      <c r="A32" s="123" t="s">
        <v>503</v>
      </c>
      <c r="B32" s="24"/>
      <c r="C32" s="2"/>
      <c r="D32" s="2"/>
      <c r="E32" s="3"/>
      <c r="F32" s="14"/>
      <c r="G32" s="85"/>
      <c r="H32" s="85"/>
      <c r="I32" s="95"/>
      <c r="J32" s="5"/>
    </row>
    <row r="33" spans="1:10" ht="15.75">
      <c r="A33" s="123" t="s">
        <v>504</v>
      </c>
      <c r="B33" s="24"/>
      <c r="C33" s="2"/>
      <c r="D33" s="2"/>
      <c r="E33" s="3"/>
      <c r="F33" s="14"/>
      <c r="G33" s="85"/>
      <c r="H33" s="85"/>
      <c r="I33" s="95"/>
      <c r="J33" s="5"/>
    </row>
    <row r="34" spans="1:10" ht="15.75">
      <c r="A34" s="123" t="s">
        <v>505</v>
      </c>
      <c r="B34" s="24"/>
      <c r="C34" s="2"/>
      <c r="D34" s="2"/>
      <c r="E34" s="3"/>
      <c r="F34" s="14"/>
      <c r="G34" s="85"/>
      <c r="H34" s="85"/>
      <c r="I34" s="95"/>
      <c r="J34" s="5"/>
    </row>
    <row r="35" spans="1:10" ht="15.75">
      <c r="A35" s="174" t="s">
        <v>289</v>
      </c>
      <c r="B35" s="24"/>
      <c r="C35" s="2" t="s">
        <v>228</v>
      </c>
      <c r="D35" s="2" t="s">
        <v>290</v>
      </c>
      <c r="E35" s="266">
        <v>0.3</v>
      </c>
      <c r="F35" s="14">
        <f>+C69</f>
        <v>6.89</v>
      </c>
      <c r="G35" s="1"/>
      <c r="H35" s="271">
        <f>E35*F35</f>
        <v>2.0669999999999997</v>
      </c>
      <c r="I35" s="95">
        <f>SUM(H35:H36)</f>
        <v>2.7239999999999998</v>
      </c>
      <c r="J35" s="5"/>
    </row>
    <row r="36" spans="1:10" ht="15.75">
      <c r="A36" s="101" t="s">
        <v>227</v>
      </c>
      <c r="B36" s="24"/>
      <c r="C36" s="2" t="s">
        <v>228</v>
      </c>
      <c r="D36" s="2" t="s">
        <v>229</v>
      </c>
      <c r="E36" s="3">
        <v>0.15</v>
      </c>
      <c r="F36" s="14">
        <f>+C70</f>
        <v>4.38</v>
      </c>
      <c r="G36" s="1"/>
      <c r="H36" s="271">
        <f>E36*F36</f>
        <v>0.6569999999999999</v>
      </c>
      <c r="I36" s="95"/>
      <c r="J36" s="5"/>
    </row>
    <row r="37" spans="1:10" ht="16.5" thickBot="1">
      <c r="A37" s="90"/>
      <c r="B37" s="28"/>
      <c r="C37" s="7"/>
      <c r="D37" s="7"/>
      <c r="E37" s="8"/>
      <c r="F37" s="10"/>
      <c r="G37" s="67">
        <v>0</v>
      </c>
      <c r="H37" s="252">
        <f>SUM(H35:H36)</f>
        <v>2.7239999999999998</v>
      </c>
      <c r="I37" s="88"/>
      <c r="J37" s="11"/>
    </row>
    <row r="38" spans="1:10" ht="16.5" thickTop="1">
      <c r="A38" s="122">
        <v>5.6</v>
      </c>
      <c r="B38" s="69"/>
      <c r="C38" s="56"/>
      <c r="D38" s="56"/>
      <c r="E38" s="70"/>
      <c r="F38" s="84"/>
      <c r="G38" s="115"/>
      <c r="H38" s="115"/>
      <c r="I38" s="89"/>
      <c r="J38" s="71"/>
    </row>
    <row r="39" spans="1:10" ht="15.75">
      <c r="A39" s="123" t="s">
        <v>506</v>
      </c>
      <c r="B39" s="24"/>
      <c r="C39" s="2"/>
      <c r="D39" s="2"/>
      <c r="E39" s="3"/>
      <c r="F39" s="14"/>
      <c r="G39" s="85"/>
      <c r="H39" s="85"/>
      <c r="I39" s="95"/>
      <c r="J39" s="5"/>
    </row>
    <row r="40" spans="1:10" ht="15.75">
      <c r="A40" s="123" t="s">
        <v>507</v>
      </c>
      <c r="B40" s="24"/>
      <c r="C40" s="2"/>
      <c r="D40" s="2"/>
      <c r="E40" s="3"/>
      <c r="F40" s="14"/>
      <c r="G40" s="85"/>
      <c r="H40" s="85"/>
      <c r="I40" s="95"/>
      <c r="J40" s="5"/>
    </row>
    <row r="41" spans="1:10" ht="15.75">
      <c r="A41" s="174" t="s">
        <v>508</v>
      </c>
      <c r="B41" s="24"/>
      <c r="C41" s="2" t="s">
        <v>294</v>
      </c>
      <c r="D41" s="2" t="s">
        <v>509</v>
      </c>
      <c r="E41" s="3">
        <v>1.05</v>
      </c>
      <c r="F41" s="14">
        <v>1.86</v>
      </c>
      <c r="G41" s="271">
        <f>E41*F41</f>
        <v>1.9530000000000003</v>
      </c>
      <c r="H41" s="1"/>
      <c r="I41" s="95">
        <f>SUM(G41,H42:H43)</f>
        <v>2.6292000000000004</v>
      </c>
      <c r="J41" s="5"/>
    </row>
    <row r="42" spans="1:10" ht="15.75">
      <c r="A42" s="101" t="s">
        <v>289</v>
      </c>
      <c r="B42" s="24"/>
      <c r="C42" s="2" t="s">
        <v>228</v>
      </c>
      <c r="D42" s="2" t="s">
        <v>290</v>
      </c>
      <c r="E42" s="3">
        <v>0.06</v>
      </c>
      <c r="F42" s="14">
        <f>+C69</f>
        <v>6.89</v>
      </c>
      <c r="G42" s="1"/>
      <c r="H42" s="271">
        <f>E42*F42</f>
        <v>0.4134</v>
      </c>
      <c r="I42" s="95"/>
      <c r="J42" s="5"/>
    </row>
    <row r="43" spans="1:10" ht="15.75">
      <c r="A43" s="101" t="s">
        <v>227</v>
      </c>
      <c r="B43" s="24"/>
      <c r="C43" s="2" t="s">
        <v>228</v>
      </c>
      <c r="D43" s="2" t="s">
        <v>229</v>
      </c>
      <c r="E43" s="3">
        <v>0.06</v>
      </c>
      <c r="F43" s="14">
        <f>+C70</f>
        <v>4.38</v>
      </c>
      <c r="G43" s="1"/>
      <c r="H43" s="271">
        <f>E43*F43</f>
        <v>0.2628</v>
      </c>
      <c r="I43" s="95"/>
      <c r="J43" s="5"/>
    </row>
    <row r="44" spans="1:10" ht="16.5" thickBot="1">
      <c r="A44" s="90"/>
      <c r="B44" s="72"/>
      <c r="C44" s="7"/>
      <c r="D44" s="7"/>
      <c r="E44" s="8"/>
      <c r="F44" s="73"/>
      <c r="G44" s="252">
        <f>E41*F41</f>
        <v>1.9530000000000003</v>
      </c>
      <c r="H44" s="252">
        <f>SUM(H42:H43)</f>
        <v>0.6761999999999999</v>
      </c>
      <c r="I44" s="88"/>
      <c r="J44" s="11"/>
    </row>
    <row r="45" spans="1:10" ht="16.5" thickTop="1">
      <c r="A45" s="177">
        <v>5.7</v>
      </c>
      <c r="B45" s="113"/>
      <c r="C45" s="56"/>
      <c r="D45" s="56"/>
      <c r="E45" s="70"/>
      <c r="F45" s="139"/>
      <c r="G45" s="115"/>
      <c r="H45" s="115"/>
      <c r="I45" s="89"/>
      <c r="J45" s="71"/>
    </row>
    <row r="46" spans="1:10" ht="15.75">
      <c r="A46" s="173" t="s">
        <v>510</v>
      </c>
      <c r="B46" s="24"/>
      <c r="C46" s="2"/>
      <c r="D46" s="2"/>
      <c r="E46" s="3"/>
      <c r="F46" s="14"/>
      <c r="G46" s="85"/>
      <c r="H46" s="85"/>
      <c r="I46" s="95"/>
      <c r="J46" s="5"/>
    </row>
    <row r="47" spans="1:10" ht="15.75">
      <c r="A47" s="173" t="s">
        <v>511</v>
      </c>
      <c r="B47" s="24"/>
      <c r="C47" s="2"/>
      <c r="D47" s="2"/>
      <c r="E47" s="3"/>
      <c r="F47" s="14"/>
      <c r="G47" s="85"/>
      <c r="H47" s="85"/>
      <c r="I47" s="95"/>
      <c r="J47" s="5"/>
    </row>
    <row r="48" spans="1:10" ht="15.75">
      <c r="A48" s="246" t="s">
        <v>289</v>
      </c>
      <c r="B48" s="24"/>
      <c r="C48" s="2" t="s">
        <v>228</v>
      </c>
      <c r="D48" s="2" t="s">
        <v>290</v>
      </c>
      <c r="E48" s="266">
        <v>1.9</v>
      </c>
      <c r="F48" s="14">
        <f>+C69</f>
        <v>6.89</v>
      </c>
      <c r="G48" s="1"/>
      <c r="H48" s="25">
        <f>E48*F48</f>
        <v>13.091</v>
      </c>
      <c r="I48" s="248">
        <f>E48*F48</f>
        <v>13.091</v>
      </c>
      <c r="J48" s="5"/>
    </row>
    <row r="49" spans="1:10" ht="16.5" thickBot="1">
      <c r="A49" s="249"/>
      <c r="B49" s="28"/>
      <c r="C49" s="7"/>
      <c r="D49" s="7"/>
      <c r="E49" s="8"/>
      <c r="F49" s="10"/>
      <c r="G49" s="67">
        <v>0</v>
      </c>
      <c r="H49" s="67">
        <f>E48*F48</f>
        <v>13.091</v>
      </c>
      <c r="I49" s="100"/>
      <c r="J49" s="11"/>
    </row>
    <row r="50" spans="1:10" ht="16.5" thickTop="1">
      <c r="A50" s="250">
        <v>5.8</v>
      </c>
      <c r="B50" s="69"/>
      <c r="C50" s="56"/>
      <c r="D50" s="56"/>
      <c r="E50" s="70"/>
      <c r="F50" s="84"/>
      <c r="G50" s="115"/>
      <c r="H50" s="115"/>
      <c r="I50" s="140"/>
      <c r="J50" s="71"/>
    </row>
    <row r="51" spans="1:10" ht="15.75">
      <c r="A51" s="230" t="s">
        <v>512</v>
      </c>
      <c r="B51" s="24"/>
      <c r="C51" s="2"/>
      <c r="D51" s="2"/>
      <c r="E51" s="3"/>
      <c r="F51" s="14"/>
      <c r="G51" s="85"/>
      <c r="H51" s="85"/>
      <c r="I51" s="248"/>
      <c r="J51" s="5"/>
    </row>
    <row r="52" spans="1:10" ht="15.75">
      <c r="A52" s="230" t="s">
        <v>513</v>
      </c>
      <c r="B52" s="24"/>
      <c r="C52" s="2"/>
      <c r="D52" s="2"/>
      <c r="E52" s="3"/>
      <c r="F52" s="14"/>
      <c r="G52" s="85"/>
      <c r="H52" s="85"/>
      <c r="I52" s="248"/>
      <c r="J52" s="5"/>
    </row>
    <row r="53" spans="1:10" ht="15.75">
      <c r="A53" s="230" t="s">
        <v>514</v>
      </c>
      <c r="B53" s="24"/>
      <c r="C53" s="2"/>
      <c r="D53" s="2"/>
      <c r="E53" s="3"/>
      <c r="F53" s="14"/>
      <c r="G53" s="85"/>
      <c r="H53" s="85"/>
      <c r="I53" s="248"/>
      <c r="J53" s="5"/>
    </row>
    <row r="54" spans="1:10" ht="15.75">
      <c r="A54" s="174" t="s">
        <v>289</v>
      </c>
      <c r="B54" s="24"/>
      <c r="C54" s="2" t="s">
        <v>228</v>
      </c>
      <c r="D54" s="2" t="s">
        <v>290</v>
      </c>
      <c r="E54" s="3">
        <v>0.35</v>
      </c>
      <c r="F54" s="14">
        <f>+C69</f>
        <v>6.89</v>
      </c>
      <c r="G54" s="1"/>
      <c r="H54" s="271">
        <f>E54*F54</f>
        <v>2.4114999999999998</v>
      </c>
      <c r="I54" s="95">
        <f>SUM(H54:H55)</f>
        <v>3.9444999999999997</v>
      </c>
      <c r="J54" s="5"/>
    </row>
    <row r="55" spans="1:10" ht="15.75">
      <c r="A55" s="174" t="s">
        <v>227</v>
      </c>
      <c r="B55" s="24"/>
      <c r="C55" s="2" t="s">
        <v>228</v>
      </c>
      <c r="D55" s="2" t="s">
        <v>229</v>
      </c>
      <c r="E55" s="3">
        <v>0.35</v>
      </c>
      <c r="F55" s="14">
        <f>+C70</f>
        <v>4.38</v>
      </c>
      <c r="G55" s="1"/>
      <c r="H55" s="271">
        <f>E55*F55</f>
        <v>1.533</v>
      </c>
      <c r="I55" s="95"/>
      <c r="J55" s="5"/>
    </row>
    <row r="56" spans="1:10" ht="16.5" thickBot="1">
      <c r="A56" s="90"/>
      <c r="B56" s="28"/>
      <c r="C56" s="7"/>
      <c r="D56" s="7"/>
      <c r="E56" s="8"/>
      <c r="F56" s="10"/>
      <c r="G56" s="67">
        <v>0</v>
      </c>
      <c r="H56" s="252">
        <f>SUM(H54:H55)</f>
        <v>3.9444999999999997</v>
      </c>
      <c r="I56" s="88"/>
      <c r="J56" s="11"/>
    </row>
    <row r="57" spans="1:10" ht="16.5" thickTop="1">
      <c r="A57" s="122">
        <v>5.9</v>
      </c>
      <c r="B57" s="69"/>
      <c r="C57" s="56"/>
      <c r="D57" s="56"/>
      <c r="E57" s="70"/>
      <c r="F57" s="84"/>
      <c r="G57" s="115"/>
      <c r="H57" s="115"/>
      <c r="I57" s="89"/>
      <c r="J57" s="71"/>
    </row>
    <row r="58" spans="1:10" ht="15.75">
      <c r="A58" s="123" t="s">
        <v>515</v>
      </c>
      <c r="B58" s="24"/>
      <c r="C58" s="2"/>
      <c r="D58" s="2"/>
      <c r="E58" s="3"/>
      <c r="F58" s="14"/>
      <c r="G58" s="85"/>
      <c r="H58" s="85"/>
      <c r="I58" s="95"/>
      <c r="J58" s="5"/>
    </row>
    <row r="59" spans="1:10" ht="15.75">
      <c r="A59" s="123" t="s">
        <v>516</v>
      </c>
      <c r="B59" s="24"/>
      <c r="C59" s="2"/>
      <c r="D59" s="2"/>
      <c r="E59" s="3"/>
      <c r="F59" s="14"/>
      <c r="G59" s="85"/>
      <c r="H59" s="85"/>
      <c r="I59" s="95"/>
      <c r="J59" s="5"/>
    </row>
    <row r="60" spans="1:10" ht="15.75">
      <c r="A60" s="123" t="s">
        <v>517</v>
      </c>
      <c r="B60" s="24"/>
      <c r="C60" s="2"/>
      <c r="D60" s="2"/>
      <c r="E60" s="3"/>
      <c r="F60" s="14"/>
      <c r="G60" s="85"/>
      <c r="H60" s="85"/>
      <c r="I60" s="95"/>
      <c r="J60" s="5"/>
    </row>
    <row r="61" spans="1:10" ht="15.75">
      <c r="A61" s="174" t="s">
        <v>518</v>
      </c>
      <c r="B61" s="24"/>
      <c r="C61" s="2" t="s">
        <v>294</v>
      </c>
      <c r="D61" s="2" t="s">
        <v>519</v>
      </c>
      <c r="E61" s="266">
        <v>2.4</v>
      </c>
      <c r="F61" s="268">
        <v>4.3</v>
      </c>
      <c r="G61" s="271">
        <f>E61*F61</f>
        <v>10.319999999999999</v>
      </c>
      <c r="H61" s="1"/>
      <c r="I61" s="269">
        <f>SUM(G61:G62,H63:H64)</f>
        <v>14.427999999999999</v>
      </c>
      <c r="J61" s="5"/>
    </row>
    <row r="62" spans="1:10" ht="15.75">
      <c r="A62" s="101" t="s">
        <v>520</v>
      </c>
      <c r="B62" s="24"/>
      <c r="C62" s="2" t="s">
        <v>287</v>
      </c>
      <c r="D62" s="2" t="s">
        <v>521</v>
      </c>
      <c r="E62" s="266">
        <v>0.3</v>
      </c>
      <c r="F62" s="14">
        <v>0.86</v>
      </c>
      <c r="G62" s="271">
        <f>E62*F62</f>
        <v>0.258</v>
      </c>
      <c r="H62" s="1"/>
      <c r="I62" s="95"/>
      <c r="J62" s="5"/>
    </row>
    <row r="63" spans="1:10" ht="15.75">
      <c r="A63" s="101" t="s">
        <v>289</v>
      </c>
      <c r="B63" s="24"/>
      <c r="C63" s="2" t="s">
        <v>228</v>
      </c>
      <c r="D63" s="2" t="s">
        <v>290</v>
      </c>
      <c r="E63" s="3">
        <v>0.26</v>
      </c>
      <c r="F63" s="14">
        <f>+C69</f>
        <v>6.89</v>
      </c>
      <c r="G63" s="1"/>
      <c r="H63" s="271">
        <f>E63*F63</f>
        <v>1.7913999999999999</v>
      </c>
      <c r="I63" s="95"/>
      <c r="J63" s="5"/>
    </row>
    <row r="64" spans="1:10" ht="15.75">
      <c r="A64" s="101" t="s">
        <v>227</v>
      </c>
      <c r="B64" s="24"/>
      <c r="C64" s="2" t="s">
        <v>228</v>
      </c>
      <c r="D64" s="2" t="s">
        <v>229</v>
      </c>
      <c r="E64" s="3">
        <v>0.47</v>
      </c>
      <c r="F64" s="14">
        <f>+C70</f>
        <v>4.38</v>
      </c>
      <c r="G64" s="1"/>
      <c r="H64" s="271">
        <f>E64*F64</f>
        <v>2.0585999999999998</v>
      </c>
      <c r="I64" s="95"/>
      <c r="J64" s="5"/>
    </row>
    <row r="65" spans="1:10" ht="16.5" thickBot="1">
      <c r="A65" s="93"/>
      <c r="B65" s="62"/>
      <c r="C65" s="16"/>
      <c r="D65" s="16"/>
      <c r="E65" s="16"/>
      <c r="F65" s="62"/>
      <c r="G65" s="253">
        <f>SUM(G61:G62)</f>
        <v>10.578</v>
      </c>
      <c r="H65" s="253">
        <f>SUM(H63:H64)</f>
        <v>3.8499999999999996</v>
      </c>
      <c r="I65" s="92"/>
      <c r="J65" s="74"/>
    </row>
    <row r="66" ht="13.5" thickTop="1"/>
    <row r="69" spans="2:3" ht="15.75">
      <c r="B69" s="301" t="s">
        <v>290</v>
      </c>
      <c r="C69" s="40">
        <v>6.89</v>
      </c>
    </row>
    <row r="70" spans="2:3" ht="15.75">
      <c r="B70" s="301" t="s">
        <v>229</v>
      </c>
      <c r="C70" s="40">
        <v>4.38</v>
      </c>
    </row>
  </sheetData>
  <printOptions/>
  <pageMargins left="0.037401" right="0.037401575" top="1" bottom="1" header="0.511811024" footer="0.511811024"/>
  <pageSetup horizontalDpi="300" verticalDpi="3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F143" sqref="F143"/>
    </sheetView>
  </sheetViews>
  <sheetFormatPr defaultColWidth="11.421875" defaultRowHeight="12.75"/>
  <cols>
    <col min="1" max="1" width="54.00390625" style="0" customWidth="1"/>
    <col min="2" max="2" width="5.28125" style="0" customWidth="1"/>
    <col min="3" max="4" width="8.140625" style="0" customWidth="1"/>
    <col min="5" max="5" width="10.140625" style="0" customWidth="1"/>
    <col min="6" max="6" width="9.8515625" style="0" customWidth="1"/>
    <col min="7" max="7" width="10.140625" style="0" customWidth="1"/>
    <col min="8" max="8" width="9.7109375" style="0" customWidth="1"/>
    <col min="9" max="9" width="10.57421875" style="1" customWidth="1"/>
    <col min="10" max="10" width="89.57421875" style="153" customWidth="1"/>
  </cols>
  <sheetData>
    <row r="1" spans="1:10" ht="17.25" thickBot="1" thickTop="1">
      <c r="A1" s="275" t="s">
        <v>522</v>
      </c>
      <c r="B1" s="276"/>
      <c r="C1" s="276"/>
      <c r="D1" s="276"/>
      <c r="E1" s="276"/>
      <c r="F1" s="276"/>
      <c r="G1" s="276"/>
      <c r="H1" s="276"/>
      <c r="I1" s="285"/>
      <c r="J1" s="277"/>
    </row>
    <row r="2" spans="1:10" s="108" customFormat="1" ht="49.5" customHeight="1" thickBot="1" thickTop="1">
      <c r="A2" s="278" t="s">
        <v>214</v>
      </c>
      <c r="B2" s="279" t="s">
        <v>215</v>
      </c>
      <c r="C2" s="279" t="s">
        <v>216</v>
      </c>
      <c r="D2" s="280" t="s">
        <v>523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21" s="1" customFormat="1" ht="15.75" customHeight="1" thickTop="1">
      <c r="A3" s="188">
        <v>6.1</v>
      </c>
      <c r="B3" s="125"/>
      <c r="C3" s="125"/>
      <c r="D3" s="126"/>
      <c r="E3" s="126"/>
      <c r="F3" s="126"/>
      <c r="G3" s="125"/>
      <c r="H3" s="126"/>
      <c r="I3" s="125"/>
      <c r="J3" s="151" t="s">
        <v>524</v>
      </c>
      <c r="N3" s="21"/>
      <c r="O3" s="21"/>
      <c r="P3" s="21"/>
      <c r="Q3" s="21"/>
      <c r="R3" s="21"/>
      <c r="S3" s="21"/>
      <c r="T3" s="21"/>
      <c r="U3" s="21"/>
    </row>
    <row r="4" spans="1:21" s="1" customFormat="1" ht="15.75" customHeight="1">
      <c r="A4" s="179" t="s">
        <v>525</v>
      </c>
      <c r="B4" s="125"/>
      <c r="C4" s="125"/>
      <c r="D4" s="126"/>
      <c r="E4" s="126"/>
      <c r="F4" s="126"/>
      <c r="G4" s="125"/>
      <c r="H4" s="126"/>
      <c r="I4" s="125"/>
      <c r="J4" s="142" t="s">
        <v>526</v>
      </c>
      <c r="N4" s="21"/>
      <c r="O4" s="21"/>
      <c r="P4" s="21"/>
      <c r="Q4" s="21"/>
      <c r="R4" s="21"/>
      <c r="S4" s="21"/>
      <c r="T4" s="21"/>
      <c r="U4" s="21"/>
    </row>
    <row r="5" spans="1:21" s="1" customFormat="1" ht="15.75" customHeight="1">
      <c r="A5" s="179" t="s">
        <v>527</v>
      </c>
      <c r="B5" s="125"/>
      <c r="C5" s="125"/>
      <c r="D5" s="126"/>
      <c r="E5" s="126"/>
      <c r="F5" s="126"/>
      <c r="G5" s="125"/>
      <c r="H5" s="126"/>
      <c r="I5" s="125"/>
      <c r="J5" s="142" t="s">
        <v>528</v>
      </c>
      <c r="N5" s="21"/>
      <c r="O5" s="21"/>
      <c r="P5" s="21"/>
      <c r="Q5" s="21"/>
      <c r="R5" s="21"/>
      <c r="S5" s="21"/>
      <c r="T5" s="21"/>
      <c r="U5" s="21"/>
    </row>
    <row r="6" spans="1:21" s="1" customFormat="1" ht="15.75" customHeight="1">
      <c r="A6" s="172" t="s">
        <v>529</v>
      </c>
      <c r="B6" s="125"/>
      <c r="C6" s="125"/>
      <c r="D6" s="126"/>
      <c r="E6" s="126"/>
      <c r="F6" s="126"/>
      <c r="G6" s="125"/>
      <c r="H6" s="126"/>
      <c r="I6" s="125"/>
      <c r="J6" s="142" t="s">
        <v>530</v>
      </c>
      <c r="N6" s="21"/>
      <c r="O6" s="21"/>
      <c r="P6" s="21"/>
      <c r="Q6" s="21"/>
      <c r="R6" s="21"/>
      <c r="S6" s="21"/>
      <c r="T6" s="21"/>
      <c r="U6" s="21"/>
    </row>
    <row r="7" spans="1:21" s="1" customFormat="1" ht="15.75" customHeight="1">
      <c r="A7" s="172" t="s">
        <v>531</v>
      </c>
      <c r="B7" s="125"/>
      <c r="C7" s="125"/>
      <c r="D7" s="126"/>
      <c r="E7" s="126"/>
      <c r="F7" s="126"/>
      <c r="G7" s="125"/>
      <c r="H7" s="126"/>
      <c r="I7" s="125"/>
      <c r="J7" s="5" t="s">
        <v>532</v>
      </c>
      <c r="N7" s="21"/>
      <c r="O7" s="21"/>
      <c r="P7" s="21"/>
      <c r="Q7" s="21"/>
      <c r="R7" s="21"/>
      <c r="S7" s="21"/>
      <c r="T7" s="21"/>
      <c r="U7" s="21"/>
    </row>
    <row r="8" spans="1:21" s="1" customFormat="1" ht="15.75" customHeight="1">
      <c r="A8" s="172" t="s">
        <v>533</v>
      </c>
      <c r="B8" s="125"/>
      <c r="C8" s="125"/>
      <c r="D8" s="126"/>
      <c r="E8" s="126"/>
      <c r="F8" s="126"/>
      <c r="G8" s="125"/>
      <c r="H8" s="126"/>
      <c r="I8" s="125"/>
      <c r="J8" s="152"/>
      <c r="N8" s="21"/>
      <c r="O8" s="21"/>
      <c r="P8" s="21"/>
      <c r="Q8" s="21"/>
      <c r="R8" s="21"/>
      <c r="S8" s="21"/>
      <c r="T8" s="21"/>
      <c r="U8" s="21"/>
    </row>
    <row r="9" spans="1:21" s="1" customFormat="1" ht="15.75" customHeight="1">
      <c r="A9" s="172" t="s">
        <v>534</v>
      </c>
      <c r="B9" s="125"/>
      <c r="C9" s="125"/>
      <c r="D9" s="126"/>
      <c r="E9" s="126"/>
      <c r="F9" s="126"/>
      <c r="G9" s="125"/>
      <c r="H9" s="126"/>
      <c r="I9" s="125"/>
      <c r="J9" s="144" t="s">
        <v>535</v>
      </c>
      <c r="N9" s="21"/>
      <c r="O9" s="21"/>
      <c r="P9" s="21"/>
      <c r="Q9" s="21"/>
      <c r="R9" s="21"/>
      <c r="S9" s="21"/>
      <c r="T9" s="21"/>
      <c r="U9" s="21"/>
    </row>
    <row r="10" spans="1:10" s="21" customFormat="1" ht="15.75" customHeight="1">
      <c r="A10" s="172" t="s">
        <v>536</v>
      </c>
      <c r="B10" s="125"/>
      <c r="C10" s="125"/>
      <c r="D10" s="126"/>
      <c r="E10" s="126"/>
      <c r="F10" s="126"/>
      <c r="G10" s="125"/>
      <c r="H10" s="126"/>
      <c r="I10" s="125"/>
      <c r="J10" s="145" t="s">
        <v>537</v>
      </c>
    </row>
    <row r="11" spans="1:10" s="21" customFormat="1" ht="15.75" customHeight="1">
      <c r="A11" s="172" t="s">
        <v>538</v>
      </c>
      <c r="B11" s="125"/>
      <c r="C11" s="125"/>
      <c r="D11" s="126"/>
      <c r="E11" s="126"/>
      <c r="F11" s="126"/>
      <c r="G11" s="125"/>
      <c r="H11" s="126"/>
      <c r="I11" s="125"/>
      <c r="J11" s="145" t="s">
        <v>539</v>
      </c>
    </row>
    <row r="12" spans="1:10" s="21" customFormat="1" ht="15.75" customHeight="1">
      <c r="A12" s="172" t="s">
        <v>540</v>
      </c>
      <c r="B12" s="125"/>
      <c r="C12" s="125"/>
      <c r="D12" s="126"/>
      <c r="E12" s="126"/>
      <c r="F12" s="126"/>
      <c r="G12" s="125"/>
      <c r="H12" s="126"/>
      <c r="I12" s="125"/>
      <c r="J12" s="143" t="s">
        <v>541</v>
      </c>
    </row>
    <row r="13" spans="1:10" s="21" customFormat="1" ht="15.75" customHeight="1">
      <c r="A13" s="172" t="s">
        <v>542</v>
      </c>
      <c r="B13" s="125"/>
      <c r="C13" s="125"/>
      <c r="D13" s="126"/>
      <c r="E13" s="126"/>
      <c r="F13" s="126"/>
      <c r="G13" s="125"/>
      <c r="H13" s="126"/>
      <c r="I13" s="125"/>
      <c r="J13" s="145" t="s">
        <v>543</v>
      </c>
    </row>
    <row r="14" spans="1:10" s="21" customFormat="1" ht="15.75" customHeight="1">
      <c r="A14" s="172" t="s">
        <v>544</v>
      </c>
      <c r="B14" s="125"/>
      <c r="C14" s="125"/>
      <c r="D14" s="126"/>
      <c r="E14" s="126"/>
      <c r="F14" s="126"/>
      <c r="G14" s="125"/>
      <c r="H14" s="126"/>
      <c r="I14" s="125"/>
      <c r="J14" s="145" t="s">
        <v>545</v>
      </c>
    </row>
    <row r="15" spans="1:10" s="21" customFormat="1" ht="15.75" customHeight="1">
      <c r="A15" s="172" t="s">
        <v>546</v>
      </c>
      <c r="B15" s="125"/>
      <c r="C15" s="125"/>
      <c r="D15" s="126"/>
      <c r="E15" s="126"/>
      <c r="F15" s="126"/>
      <c r="G15" s="125"/>
      <c r="H15" s="126"/>
      <c r="I15" s="125"/>
      <c r="J15" s="145" t="s">
        <v>547</v>
      </c>
    </row>
    <row r="16" spans="1:10" s="21" customFormat="1" ht="15.75" customHeight="1">
      <c r="A16" s="172" t="s">
        <v>548</v>
      </c>
      <c r="B16" s="125"/>
      <c r="C16" s="125"/>
      <c r="D16" s="126"/>
      <c r="E16" s="126"/>
      <c r="F16" s="126"/>
      <c r="G16" s="125"/>
      <c r="H16" s="126"/>
      <c r="I16" s="125"/>
      <c r="J16" s="145" t="s">
        <v>549</v>
      </c>
    </row>
    <row r="17" spans="1:10" s="21" customFormat="1" ht="15.75" customHeight="1">
      <c r="A17" s="172" t="s">
        <v>550</v>
      </c>
      <c r="B17" s="125"/>
      <c r="C17" s="125"/>
      <c r="D17" s="126"/>
      <c r="E17" s="126"/>
      <c r="F17" s="126"/>
      <c r="G17" s="125"/>
      <c r="H17" s="126"/>
      <c r="I17" s="125"/>
      <c r="J17" s="143" t="s">
        <v>551</v>
      </c>
    </row>
    <row r="18" spans="1:10" s="21" customFormat="1" ht="15.75" customHeight="1">
      <c r="A18" s="172" t="s">
        <v>552</v>
      </c>
      <c r="B18" s="125"/>
      <c r="C18" s="125"/>
      <c r="D18" s="126"/>
      <c r="E18" s="126"/>
      <c r="F18" s="126"/>
      <c r="G18" s="125"/>
      <c r="H18" s="126"/>
      <c r="I18" s="125"/>
      <c r="J18" s="145" t="s">
        <v>553</v>
      </c>
    </row>
    <row r="19" spans="1:10" s="21" customFormat="1" ht="15.75" customHeight="1">
      <c r="A19" s="172" t="s">
        <v>554</v>
      </c>
      <c r="B19" s="125"/>
      <c r="C19" s="125"/>
      <c r="D19" s="126"/>
      <c r="E19" s="126"/>
      <c r="F19" s="126"/>
      <c r="G19" s="125"/>
      <c r="H19" s="126"/>
      <c r="I19" s="125"/>
      <c r="J19" s="5" t="s">
        <v>555</v>
      </c>
    </row>
    <row r="20" spans="1:10" s="1" customFormat="1" ht="15.75">
      <c r="A20" s="172" t="s">
        <v>556</v>
      </c>
      <c r="B20" s="24" t="s">
        <v>387</v>
      </c>
      <c r="C20" s="2" t="s">
        <v>287</v>
      </c>
      <c r="D20" s="2" t="s">
        <v>355</v>
      </c>
      <c r="E20" s="3">
        <v>13.2</v>
      </c>
      <c r="F20" s="14">
        <v>0.12</v>
      </c>
      <c r="G20" s="14">
        <f aca="true" t="shared" si="0" ref="G20:G32">E20*F20</f>
        <v>1.5839999999999999</v>
      </c>
      <c r="H20" s="4"/>
      <c r="I20" s="95">
        <f>SUM(G35,H35)</f>
        <v>137.21826</v>
      </c>
      <c r="J20" s="5"/>
    </row>
    <row r="21" spans="1:10" ht="15.75" customHeight="1">
      <c r="A21" s="174" t="s">
        <v>557</v>
      </c>
      <c r="B21" s="24"/>
      <c r="C21" s="2" t="s">
        <v>287</v>
      </c>
      <c r="D21" s="2" t="s">
        <v>377</v>
      </c>
      <c r="E21" s="3">
        <v>8.2</v>
      </c>
      <c r="F21" s="14">
        <v>0.09</v>
      </c>
      <c r="G21" s="14">
        <f t="shared" si="0"/>
        <v>0.7379999999999999</v>
      </c>
      <c r="H21" s="4"/>
      <c r="I21" s="95"/>
      <c r="J21" s="151" t="s">
        <v>558</v>
      </c>
    </row>
    <row r="22" spans="1:10" ht="15.75">
      <c r="A22" s="174" t="s">
        <v>559</v>
      </c>
      <c r="B22" s="24"/>
      <c r="C22" s="2" t="s">
        <v>357</v>
      </c>
      <c r="D22" s="2" t="s">
        <v>560</v>
      </c>
      <c r="E22" s="3">
        <v>0.064</v>
      </c>
      <c r="F22" s="14">
        <v>12.27</v>
      </c>
      <c r="G22" s="14">
        <f t="shared" si="0"/>
        <v>0.78528</v>
      </c>
      <c r="H22" s="4"/>
      <c r="I22" s="95"/>
      <c r="J22" s="5" t="s">
        <v>561</v>
      </c>
    </row>
    <row r="23" spans="1:10" ht="15.75">
      <c r="A23" s="174" t="s">
        <v>562</v>
      </c>
      <c r="B23" s="24"/>
      <c r="C23" s="2" t="s">
        <v>357</v>
      </c>
      <c r="D23" s="2" t="s">
        <v>563</v>
      </c>
      <c r="E23" s="3">
        <v>0.086</v>
      </c>
      <c r="F23" s="14">
        <v>13.18</v>
      </c>
      <c r="G23" s="14">
        <f t="shared" si="0"/>
        <v>1.1334799999999998</v>
      </c>
      <c r="H23" s="4"/>
      <c r="I23" s="95"/>
      <c r="J23" s="5" t="s">
        <v>564</v>
      </c>
    </row>
    <row r="24" spans="1:10" ht="15.75">
      <c r="A24" s="174" t="s">
        <v>565</v>
      </c>
      <c r="B24" s="24"/>
      <c r="C24" s="2" t="s">
        <v>294</v>
      </c>
      <c r="D24" s="2" t="s">
        <v>519</v>
      </c>
      <c r="E24" s="3">
        <v>4.7</v>
      </c>
      <c r="F24" s="268">
        <v>4.3</v>
      </c>
      <c r="G24" s="14">
        <f t="shared" si="0"/>
        <v>20.21</v>
      </c>
      <c r="H24" s="4"/>
      <c r="I24" s="95"/>
      <c r="J24" s="5" t="s">
        <v>566</v>
      </c>
    </row>
    <row r="25" spans="1:10" ht="15.75">
      <c r="A25" s="174" t="s">
        <v>567</v>
      </c>
      <c r="B25" s="24"/>
      <c r="C25" s="2" t="s">
        <v>294</v>
      </c>
      <c r="D25" s="2" t="s">
        <v>568</v>
      </c>
      <c r="E25" s="3">
        <v>5</v>
      </c>
      <c r="F25" s="268">
        <v>2.1</v>
      </c>
      <c r="G25" s="14">
        <f t="shared" si="0"/>
        <v>10.5</v>
      </c>
      <c r="H25" s="4"/>
      <c r="I25" s="95"/>
      <c r="J25" s="5" t="s">
        <v>569</v>
      </c>
    </row>
    <row r="26" spans="1:12" ht="15.75">
      <c r="A26" s="174" t="s">
        <v>520</v>
      </c>
      <c r="B26" s="24"/>
      <c r="C26" s="2" t="s">
        <v>287</v>
      </c>
      <c r="D26" s="2" t="s">
        <v>570</v>
      </c>
      <c r="E26" s="3">
        <v>0.74</v>
      </c>
      <c r="F26" s="14">
        <v>0.86</v>
      </c>
      <c r="G26" s="14">
        <f t="shared" si="0"/>
        <v>0.6364</v>
      </c>
      <c r="H26" s="4"/>
      <c r="I26" s="95"/>
      <c r="J26" s="5"/>
      <c r="K26" t="s">
        <v>571</v>
      </c>
      <c r="L26" t="s">
        <v>572</v>
      </c>
    </row>
    <row r="27" spans="1:10" ht="15.75">
      <c r="A27" s="174" t="s">
        <v>573</v>
      </c>
      <c r="B27" s="24"/>
      <c r="C27" s="2" t="s">
        <v>574</v>
      </c>
      <c r="D27" s="2" t="s">
        <v>575</v>
      </c>
      <c r="E27" s="3">
        <v>0.148</v>
      </c>
      <c r="F27" s="268">
        <v>100</v>
      </c>
      <c r="G27" s="14">
        <f t="shared" si="0"/>
        <v>14.799999999999999</v>
      </c>
      <c r="H27" s="4"/>
      <c r="I27" s="95"/>
      <c r="J27" s="5"/>
    </row>
    <row r="28" spans="1:10" ht="15.75">
      <c r="A28" s="174" t="s">
        <v>576</v>
      </c>
      <c r="B28" s="24"/>
      <c r="C28" s="2" t="s">
        <v>574</v>
      </c>
      <c r="D28" s="2" t="s">
        <v>577</v>
      </c>
      <c r="E28" s="3">
        <v>0.197</v>
      </c>
      <c r="F28" s="268">
        <v>120</v>
      </c>
      <c r="G28" s="14">
        <f t="shared" si="0"/>
        <v>23.64</v>
      </c>
      <c r="H28" s="4"/>
      <c r="I28" s="95"/>
      <c r="J28" s="5"/>
    </row>
    <row r="29" spans="1:10" ht="15.75">
      <c r="A29" s="174" t="s">
        <v>578</v>
      </c>
      <c r="B29" s="24"/>
      <c r="C29" s="2" t="s">
        <v>294</v>
      </c>
      <c r="D29" s="2" t="s">
        <v>579</v>
      </c>
      <c r="E29" s="3">
        <v>1.6</v>
      </c>
      <c r="F29" s="14">
        <v>0.28</v>
      </c>
      <c r="G29" s="14">
        <f t="shared" si="0"/>
        <v>0.44800000000000006</v>
      </c>
      <c r="H29" s="4"/>
      <c r="I29" s="95"/>
      <c r="J29" s="5"/>
    </row>
    <row r="30" spans="1:10" ht="15.75">
      <c r="A30" s="174" t="s">
        <v>580</v>
      </c>
      <c r="B30" s="24"/>
      <c r="C30" s="2" t="s">
        <v>294</v>
      </c>
      <c r="D30" s="2" t="s">
        <v>581</v>
      </c>
      <c r="E30" s="3">
        <v>1.53</v>
      </c>
      <c r="F30" s="14">
        <v>6.17</v>
      </c>
      <c r="G30" s="14">
        <f t="shared" si="0"/>
        <v>9.4401</v>
      </c>
      <c r="H30" s="4"/>
      <c r="I30" s="95"/>
      <c r="J30" s="5"/>
    </row>
    <row r="31" spans="1:10" ht="15.75">
      <c r="A31" s="174" t="s">
        <v>582</v>
      </c>
      <c r="B31" s="24"/>
      <c r="C31" s="2" t="s">
        <v>287</v>
      </c>
      <c r="D31" s="2" t="s">
        <v>583</v>
      </c>
      <c r="E31" s="3">
        <v>0.13</v>
      </c>
      <c r="F31" s="268">
        <v>2.5</v>
      </c>
      <c r="G31" s="14">
        <f t="shared" si="0"/>
        <v>0.325</v>
      </c>
      <c r="H31" s="4"/>
      <c r="I31" s="95"/>
      <c r="J31" s="5"/>
    </row>
    <row r="32" spans="1:10" ht="15.75">
      <c r="A32" s="174" t="s">
        <v>584</v>
      </c>
      <c r="B32" s="24"/>
      <c r="C32" s="2" t="s">
        <v>294</v>
      </c>
      <c r="D32" s="2" t="s">
        <v>585</v>
      </c>
      <c r="E32" s="3">
        <v>4.7</v>
      </c>
      <c r="F32" s="14">
        <v>2.16</v>
      </c>
      <c r="G32" s="14">
        <f t="shared" si="0"/>
        <v>10.152000000000001</v>
      </c>
      <c r="H32" s="4"/>
      <c r="I32" s="95"/>
      <c r="J32" s="5"/>
    </row>
    <row r="33" spans="1:10" ht="15.75">
      <c r="A33" s="174" t="s">
        <v>289</v>
      </c>
      <c r="B33" s="24"/>
      <c r="C33" s="2" t="s">
        <v>228</v>
      </c>
      <c r="D33" s="2" t="s">
        <v>290</v>
      </c>
      <c r="E33" s="3">
        <v>3.8</v>
      </c>
      <c r="F33" s="14">
        <f>+C153</f>
        <v>6.89</v>
      </c>
      <c r="G33" s="1"/>
      <c r="H33" s="14">
        <f>E33*F33</f>
        <v>26.182</v>
      </c>
      <c r="I33" s="95"/>
      <c r="J33" s="5"/>
    </row>
    <row r="34" spans="1:10" ht="15.75">
      <c r="A34" s="174" t="s">
        <v>227</v>
      </c>
      <c r="B34" s="24"/>
      <c r="C34" s="2" t="s">
        <v>228</v>
      </c>
      <c r="D34" s="2" t="s">
        <v>229</v>
      </c>
      <c r="E34" s="3">
        <v>3.8</v>
      </c>
      <c r="F34" s="14">
        <f>+C154</f>
        <v>4.38</v>
      </c>
      <c r="G34" s="4"/>
      <c r="H34" s="14">
        <f>E34*F34</f>
        <v>16.644</v>
      </c>
      <c r="I34" s="95"/>
      <c r="J34" s="5"/>
    </row>
    <row r="35" spans="1:10" ht="15.75">
      <c r="A35" s="174"/>
      <c r="B35" s="24"/>
      <c r="C35" s="2"/>
      <c r="D35" s="2"/>
      <c r="E35" s="3"/>
      <c r="F35" s="14"/>
      <c r="G35" s="254">
        <f>SUM(G20:G32)</f>
        <v>94.39226000000001</v>
      </c>
      <c r="H35" s="85">
        <f>SUM(H33:H34)</f>
        <v>42.82599999999999</v>
      </c>
      <c r="I35" s="95"/>
      <c r="J35" s="5"/>
    </row>
    <row r="36" spans="1:10" ht="15.75">
      <c r="A36" s="173" t="s">
        <v>586</v>
      </c>
      <c r="B36" s="24"/>
      <c r="C36" s="2"/>
      <c r="D36" s="2"/>
      <c r="E36" s="3"/>
      <c r="F36" s="14"/>
      <c r="G36" s="85"/>
      <c r="H36" s="85"/>
      <c r="I36" s="95"/>
      <c r="J36" s="145"/>
    </row>
    <row r="37" spans="1:10" ht="15.75">
      <c r="A37" s="172" t="s">
        <v>587</v>
      </c>
      <c r="B37" s="24" t="s">
        <v>389</v>
      </c>
      <c r="C37" s="2" t="s">
        <v>228</v>
      </c>
      <c r="D37" s="2" t="s">
        <v>229</v>
      </c>
      <c r="E37" s="3">
        <v>2.7</v>
      </c>
      <c r="F37" s="14">
        <f>+C154</f>
        <v>4.38</v>
      </c>
      <c r="G37" s="4"/>
      <c r="H37" s="14">
        <f>E37*F37</f>
        <v>11.826</v>
      </c>
      <c r="I37" s="95">
        <f>E37*F37</f>
        <v>11.826</v>
      </c>
      <c r="J37" s="5"/>
    </row>
    <row r="38" spans="1:10" s="108" customFormat="1" ht="16.5" thickBot="1">
      <c r="A38" s="90"/>
      <c r="B38" s="28"/>
      <c r="C38" s="7"/>
      <c r="D38" s="7"/>
      <c r="E38" s="8"/>
      <c r="F38" s="10"/>
      <c r="G38" s="67">
        <v>0</v>
      </c>
      <c r="H38" s="67">
        <f>E37*F37</f>
        <v>11.826</v>
      </c>
      <c r="I38" s="96"/>
      <c r="J38" s="154"/>
    </row>
    <row r="39" spans="1:10" ht="16.5" thickTop="1">
      <c r="A39" s="177">
        <v>6.2</v>
      </c>
      <c r="B39" s="69"/>
      <c r="C39" s="56"/>
      <c r="D39" s="56"/>
      <c r="E39" s="70"/>
      <c r="F39" s="84"/>
      <c r="G39" s="115"/>
      <c r="H39" s="115"/>
      <c r="I39" s="95"/>
      <c r="J39" s="142" t="s">
        <v>233</v>
      </c>
    </row>
    <row r="40" spans="1:10" ht="15.75">
      <c r="A40" s="173" t="s">
        <v>588</v>
      </c>
      <c r="B40" s="24"/>
      <c r="C40" s="2"/>
      <c r="D40" s="2"/>
      <c r="E40" s="3"/>
      <c r="F40" s="14"/>
      <c r="G40" s="85"/>
      <c r="H40" s="85"/>
      <c r="I40" s="95"/>
      <c r="J40" s="5"/>
    </row>
    <row r="41" spans="1:10" ht="15.75">
      <c r="A41" s="173" t="s">
        <v>589</v>
      </c>
      <c r="B41" s="24"/>
      <c r="C41" s="2"/>
      <c r="D41" s="2"/>
      <c r="E41" s="3"/>
      <c r="F41" s="14"/>
      <c r="G41" s="85"/>
      <c r="H41" s="85"/>
      <c r="I41" s="95"/>
      <c r="J41" s="5"/>
    </row>
    <row r="42" spans="1:10" ht="15.75">
      <c r="A42" s="173" t="s">
        <v>590</v>
      </c>
      <c r="B42" s="24"/>
      <c r="C42" s="2"/>
      <c r="D42" s="2"/>
      <c r="E42" s="3"/>
      <c r="F42" s="14"/>
      <c r="G42" s="85"/>
      <c r="H42" s="85"/>
      <c r="I42" s="95"/>
      <c r="J42" s="5"/>
    </row>
    <row r="43" spans="1:10" ht="15.75">
      <c r="A43" s="173" t="s">
        <v>552</v>
      </c>
      <c r="B43" s="24"/>
      <c r="C43" s="2"/>
      <c r="D43" s="2"/>
      <c r="E43" s="3"/>
      <c r="F43" s="14"/>
      <c r="G43" s="85"/>
      <c r="H43" s="85"/>
      <c r="I43" s="95"/>
      <c r="J43" s="5"/>
    </row>
    <row r="44" spans="1:10" ht="15.75">
      <c r="A44" s="173" t="s">
        <v>591</v>
      </c>
      <c r="B44" s="24"/>
      <c r="C44" s="2"/>
      <c r="D44" s="2"/>
      <c r="E44" s="3"/>
      <c r="F44" s="14"/>
      <c r="G44" s="85"/>
      <c r="H44" s="85"/>
      <c r="I44" s="95"/>
      <c r="J44" s="5"/>
    </row>
    <row r="45" spans="1:10" ht="15.75">
      <c r="A45" s="172" t="s">
        <v>592</v>
      </c>
      <c r="B45" s="24" t="s">
        <v>387</v>
      </c>
      <c r="C45" s="2" t="s">
        <v>287</v>
      </c>
      <c r="D45" s="2" t="s">
        <v>355</v>
      </c>
      <c r="E45" s="3">
        <v>13.2</v>
      </c>
      <c r="F45" s="14">
        <v>0.12</v>
      </c>
      <c r="G45" s="14">
        <f aca="true" t="shared" si="1" ref="G45:G57">E45*F45</f>
        <v>1.5839999999999999</v>
      </c>
      <c r="H45" s="4"/>
      <c r="I45" s="95">
        <f>SUM(G60,H60)</f>
        <v>125.27726</v>
      </c>
      <c r="J45" s="5"/>
    </row>
    <row r="46" spans="1:10" ht="15.75">
      <c r="A46" s="174" t="s">
        <v>557</v>
      </c>
      <c r="B46" s="24"/>
      <c r="C46" s="2" t="s">
        <v>287</v>
      </c>
      <c r="D46" s="2" t="s">
        <v>377</v>
      </c>
      <c r="E46" s="3">
        <v>8.2</v>
      </c>
      <c r="F46" s="14">
        <v>0.09</v>
      </c>
      <c r="G46" s="14">
        <f t="shared" si="1"/>
        <v>0.7379999999999999</v>
      </c>
      <c r="H46" s="4"/>
      <c r="I46" s="95"/>
      <c r="J46" s="5"/>
    </row>
    <row r="47" spans="1:10" ht="15.75">
      <c r="A47" s="174" t="s">
        <v>559</v>
      </c>
      <c r="B47" s="24"/>
      <c r="C47" s="2" t="s">
        <v>357</v>
      </c>
      <c r="D47" s="2" t="s">
        <v>560</v>
      </c>
      <c r="E47" s="3">
        <v>0.064</v>
      </c>
      <c r="F47" s="14">
        <v>12.27</v>
      </c>
      <c r="G47" s="14">
        <f t="shared" si="1"/>
        <v>0.78528</v>
      </c>
      <c r="H47" s="4"/>
      <c r="I47" s="95"/>
      <c r="J47" s="5"/>
    </row>
    <row r="48" spans="1:10" ht="15.75">
      <c r="A48" s="174" t="s">
        <v>562</v>
      </c>
      <c r="B48" s="24"/>
      <c r="C48" s="2" t="s">
        <v>357</v>
      </c>
      <c r="D48" s="2" t="s">
        <v>563</v>
      </c>
      <c r="E48" s="3">
        <v>0.086</v>
      </c>
      <c r="F48" s="14">
        <v>13.18</v>
      </c>
      <c r="G48" s="14">
        <f t="shared" si="1"/>
        <v>1.1334799999999998</v>
      </c>
      <c r="H48" s="4"/>
      <c r="I48" s="95"/>
      <c r="J48" s="5"/>
    </row>
    <row r="49" spans="1:10" ht="15.75">
      <c r="A49" s="174" t="s">
        <v>565</v>
      </c>
      <c r="B49" s="24"/>
      <c r="C49" s="2" t="s">
        <v>294</v>
      </c>
      <c r="D49" s="2" t="s">
        <v>519</v>
      </c>
      <c r="E49" s="3">
        <v>5.57</v>
      </c>
      <c r="F49" s="268">
        <v>4.3</v>
      </c>
      <c r="G49" s="14">
        <f t="shared" si="1"/>
        <v>23.951</v>
      </c>
      <c r="H49" s="4"/>
      <c r="I49" s="95"/>
      <c r="J49" s="5"/>
    </row>
    <row r="50" spans="1:10" ht="15.75">
      <c r="A50" s="174" t="s">
        <v>567</v>
      </c>
      <c r="B50" s="24"/>
      <c r="C50" s="2" t="s">
        <v>294</v>
      </c>
      <c r="D50" s="2" t="s">
        <v>568</v>
      </c>
      <c r="E50" s="3">
        <v>2.5</v>
      </c>
      <c r="F50" s="268">
        <v>2.1</v>
      </c>
      <c r="G50" s="14">
        <f t="shared" si="1"/>
        <v>5.25</v>
      </c>
      <c r="H50" s="4"/>
      <c r="I50" s="95"/>
      <c r="J50" s="5"/>
    </row>
    <row r="51" spans="1:10" ht="15.75">
      <c r="A51" s="174" t="s">
        <v>520</v>
      </c>
      <c r="B51" s="24"/>
      <c r="C51" s="2" t="s">
        <v>287</v>
      </c>
      <c r="D51" s="2" t="s">
        <v>570</v>
      </c>
      <c r="E51" s="3">
        <v>0.73</v>
      </c>
      <c r="F51" s="14">
        <v>0.86</v>
      </c>
      <c r="G51" s="14">
        <f t="shared" si="1"/>
        <v>0.6278</v>
      </c>
      <c r="H51" s="4"/>
      <c r="I51" s="95"/>
      <c r="J51" s="5"/>
    </row>
    <row r="52" spans="1:10" ht="15.75">
      <c r="A52" s="174" t="s">
        <v>573</v>
      </c>
      <c r="B52" s="24"/>
      <c r="C52" s="2" t="s">
        <v>574</v>
      </c>
      <c r="D52" s="2" t="s">
        <v>575</v>
      </c>
      <c r="E52" s="3">
        <v>0.22</v>
      </c>
      <c r="F52" s="268">
        <v>100</v>
      </c>
      <c r="G52" s="14">
        <f t="shared" si="1"/>
        <v>22</v>
      </c>
      <c r="H52" s="4"/>
      <c r="I52" s="95"/>
      <c r="J52" s="5"/>
    </row>
    <row r="53" spans="1:10" ht="15.75">
      <c r="A53" s="174" t="s">
        <v>576</v>
      </c>
      <c r="B53" s="24"/>
      <c r="C53" s="2" t="s">
        <v>574</v>
      </c>
      <c r="D53" s="2" t="s">
        <v>577</v>
      </c>
      <c r="E53" s="3">
        <v>0.06</v>
      </c>
      <c r="F53" s="268">
        <v>120</v>
      </c>
      <c r="G53" s="14">
        <f t="shared" si="1"/>
        <v>7.199999999999999</v>
      </c>
      <c r="H53" s="4"/>
      <c r="I53" s="95"/>
      <c r="J53" s="5"/>
    </row>
    <row r="54" spans="1:10" ht="15.75">
      <c r="A54" s="174" t="s">
        <v>578</v>
      </c>
      <c r="B54" s="24"/>
      <c r="C54" s="2" t="s">
        <v>294</v>
      </c>
      <c r="D54" s="2" t="s">
        <v>579</v>
      </c>
      <c r="E54" s="3">
        <v>1.7</v>
      </c>
      <c r="F54" s="14">
        <v>0.28</v>
      </c>
      <c r="G54" s="14">
        <f t="shared" si="1"/>
        <v>0.47600000000000003</v>
      </c>
      <c r="H54" s="4"/>
      <c r="I54" s="95"/>
      <c r="J54" s="5"/>
    </row>
    <row r="55" spans="1:10" ht="15.75">
      <c r="A55" s="174" t="s">
        <v>580</v>
      </c>
      <c r="B55" s="24"/>
      <c r="C55" s="2" t="s">
        <v>294</v>
      </c>
      <c r="D55" s="2" t="s">
        <v>581</v>
      </c>
      <c r="E55" s="3">
        <v>1.68</v>
      </c>
      <c r="F55" s="14">
        <v>6.17</v>
      </c>
      <c r="G55" s="14">
        <f t="shared" si="1"/>
        <v>10.365599999999999</v>
      </c>
      <c r="H55" s="4"/>
      <c r="I55" s="95"/>
      <c r="J55" s="5"/>
    </row>
    <row r="56" spans="1:10" ht="15.75">
      <c r="A56" s="174" t="s">
        <v>582</v>
      </c>
      <c r="B56" s="24"/>
      <c r="C56" s="2" t="s">
        <v>287</v>
      </c>
      <c r="D56" s="2" t="s">
        <v>583</v>
      </c>
      <c r="E56" s="3">
        <v>0.14</v>
      </c>
      <c r="F56" s="268">
        <v>2.5</v>
      </c>
      <c r="G56" s="14">
        <f t="shared" si="1"/>
        <v>0.35000000000000003</v>
      </c>
      <c r="H56" s="4"/>
      <c r="I56" s="95"/>
      <c r="J56" s="5"/>
    </row>
    <row r="57" spans="1:10" ht="15.75">
      <c r="A57" s="174" t="s">
        <v>584</v>
      </c>
      <c r="B57" s="24"/>
      <c r="C57" s="2" t="s">
        <v>294</v>
      </c>
      <c r="D57" s="2" t="s">
        <v>585</v>
      </c>
      <c r="E57" s="3">
        <v>3.96</v>
      </c>
      <c r="F57" s="14">
        <v>2.16</v>
      </c>
      <c r="G57" s="14">
        <f t="shared" si="1"/>
        <v>8.553600000000001</v>
      </c>
      <c r="H57" s="4"/>
      <c r="I57" s="95"/>
      <c r="J57" s="5"/>
    </row>
    <row r="58" spans="1:10" ht="15.75">
      <c r="A58" s="174" t="s">
        <v>289</v>
      </c>
      <c r="B58" s="24"/>
      <c r="C58" s="2" t="s">
        <v>228</v>
      </c>
      <c r="D58" s="2" t="s">
        <v>290</v>
      </c>
      <c r="E58" s="3">
        <v>3.75</v>
      </c>
      <c r="F58" s="14">
        <f>+C153</f>
        <v>6.89</v>
      </c>
      <c r="G58" s="1"/>
      <c r="H58" s="14">
        <f>E58*F58</f>
        <v>25.8375</v>
      </c>
      <c r="I58" s="95"/>
      <c r="J58" s="5"/>
    </row>
    <row r="59" spans="1:10" ht="15.75">
      <c r="A59" s="174" t="s">
        <v>227</v>
      </c>
      <c r="B59" s="24"/>
      <c r="C59" s="2" t="s">
        <v>228</v>
      </c>
      <c r="D59" s="2" t="s">
        <v>229</v>
      </c>
      <c r="E59" s="3">
        <v>3.75</v>
      </c>
      <c r="F59" s="14">
        <f>+C154</f>
        <v>4.38</v>
      </c>
      <c r="G59" s="4"/>
      <c r="H59" s="14">
        <f>E59*F59</f>
        <v>16.425</v>
      </c>
      <c r="I59" s="95"/>
      <c r="J59" s="5"/>
    </row>
    <row r="60" spans="1:10" ht="15.75">
      <c r="A60" s="174"/>
      <c r="B60" s="24"/>
      <c r="C60" s="2"/>
      <c r="D60" s="2"/>
      <c r="E60" s="3"/>
      <c r="F60" s="14"/>
      <c r="G60" s="254">
        <f>SUM(G45:G57)</f>
        <v>83.01476</v>
      </c>
      <c r="H60" s="85">
        <f>SUM(H58:H59)</f>
        <v>42.2625</v>
      </c>
      <c r="I60" s="95"/>
      <c r="J60" s="5"/>
    </row>
    <row r="61" spans="1:10" ht="15.75">
      <c r="A61" s="173" t="s">
        <v>593</v>
      </c>
      <c r="B61" s="24"/>
      <c r="C61" s="2"/>
      <c r="D61" s="2"/>
      <c r="E61" s="3"/>
      <c r="F61" s="14"/>
      <c r="G61" s="85"/>
      <c r="H61" s="85"/>
      <c r="I61" s="95"/>
      <c r="J61" s="5"/>
    </row>
    <row r="62" spans="1:10" s="47" customFormat="1" ht="15.75">
      <c r="A62" s="172" t="s">
        <v>594</v>
      </c>
      <c r="B62" s="24" t="s">
        <v>389</v>
      </c>
      <c r="C62" s="2" t="s">
        <v>228</v>
      </c>
      <c r="D62" s="2" t="s">
        <v>229</v>
      </c>
      <c r="E62" s="3">
        <v>2.6</v>
      </c>
      <c r="F62" s="14">
        <f>+C154</f>
        <v>4.38</v>
      </c>
      <c r="G62" s="4"/>
      <c r="H62" s="14">
        <f>E62*F62</f>
        <v>11.388</v>
      </c>
      <c r="I62" s="95">
        <f>E62*F62</f>
        <v>11.388</v>
      </c>
      <c r="J62" s="5"/>
    </row>
    <row r="63" spans="1:10" s="21" customFormat="1" ht="16.5" thickBot="1">
      <c r="A63" s="90"/>
      <c r="B63" s="28"/>
      <c r="C63" s="7"/>
      <c r="D63" s="7"/>
      <c r="E63" s="8"/>
      <c r="F63" s="10"/>
      <c r="G63" s="67">
        <v>0</v>
      </c>
      <c r="H63" s="67">
        <f>E62*F62</f>
        <v>11.388</v>
      </c>
      <c r="I63" s="96"/>
      <c r="J63" s="11"/>
    </row>
    <row r="64" spans="1:10" s="21" customFormat="1" ht="16.5" thickTop="1">
      <c r="A64" s="177">
        <v>6.3</v>
      </c>
      <c r="B64" s="24"/>
      <c r="C64" s="2"/>
      <c r="D64" s="2"/>
      <c r="E64" s="3"/>
      <c r="F64" s="14"/>
      <c r="G64" s="85"/>
      <c r="H64" s="85"/>
      <c r="I64" s="95"/>
      <c r="J64" s="5"/>
    </row>
    <row r="65" spans="1:10" s="21" customFormat="1" ht="15.75">
      <c r="A65" s="173" t="s">
        <v>595</v>
      </c>
      <c r="B65" s="24"/>
      <c r="C65" s="2"/>
      <c r="D65" s="2"/>
      <c r="E65" s="3"/>
      <c r="F65" s="14"/>
      <c r="G65" s="85"/>
      <c r="H65" s="85"/>
      <c r="I65" s="95"/>
      <c r="J65" s="5"/>
    </row>
    <row r="66" spans="1:10" s="21" customFormat="1" ht="15.75">
      <c r="A66" s="173" t="s">
        <v>596</v>
      </c>
      <c r="B66" s="24"/>
      <c r="C66" s="2"/>
      <c r="D66" s="2"/>
      <c r="E66" s="3"/>
      <c r="F66" s="14"/>
      <c r="G66" s="85"/>
      <c r="H66" s="85"/>
      <c r="I66" s="95"/>
      <c r="J66" s="5"/>
    </row>
    <row r="67" spans="1:10" s="21" customFormat="1" ht="15.75">
      <c r="A67" s="173" t="s">
        <v>597</v>
      </c>
      <c r="B67" s="24"/>
      <c r="C67" s="2"/>
      <c r="D67" s="2"/>
      <c r="E67" s="3"/>
      <c r="F67" s="14"/>
      <c r="G67" s="85"/>
      <c r="H67" s="85"/>
      <c r="I67" s="95"/>
      <c r="J67" s="5"/>
    </row>
    <row r="68" spans="1:10" s="21" customFormat="1" ht="15.75">
      <c r="A68" s="173" t="s">
        <v>598</v>
      </c>
      <c r="B68" s="24"/>
      <c r="C68" s="2"/>
      <c r="D68" s="2"/>
      <c r="E68" s="3"/>
      <c r="F68" s="14"/>
      <c r="G68" s="85"/>
      <c r="H68" s="85"/>
      <c r="I68" s="95"/>
      <c r="J68" s="5"/>
    </row>
    <row r="69" spans="1:10" ht="15.75">
      <c r="A69" s="172" t="s">
        <v>599</v>
      </c>
      <c r="B69" s="24" t="s">
        <v>387</v>
      </c>
      <c r="C69" s="2" t="s">
        <v>287</v>
      </c>
      <c r="D69" s="2" t="s">
        <v>355</v>
      </c>
      <c r="E69" s="3">
        <v>13.2</v>
      </c>
      <c r="F69" s="14">
        <v>0.12</v>
      </c>
      <c r="G69" s="14">
        <f aca="true" t="shared" si="2" ref="G69:G79">E69*F69</f>
        <v>1.5839999999999999</v>
      </c>
      <c r="H69" s="4"/>
      <c r="I69" s="95">
        <f>SUM(G82,H82)</f>
        <v>116.46306000000001</v>
      </c>
      <c r="J69" s="5"/>
    </row>
    <row r="70" spans="1:10" ht="15.75">
      <c r="A70" s="174" t="s">
        <v>557</v>
      </c>
      <c r="B70" s="24"/>
      <c r="C70" s="2" t="s">
        <v>287</v>
      </c>
      <c r="D70" s="2" t="s">
        <v>377</v>
      </c>
      <c r="E70" s="3">
        <v>8.2</v>
      </c>
      <c r="F70" s="14">
        <v>0.09</v>
      </c>
      <c r="G70" s="14">
        <f t="shared" si="2"/>
        <v>0.7379999999999999</v>
      </c>
      <c r="H70" s="4"/>
      <c r="I70" s="95"/>
      <c r="J70" s="5"/>
    </row>
    <row r="71" spans="1:10" ht="15.75">
      <c r="A71" s="174" t="s">
        <v>559</v>
      </c>
      <c r="B71" s="24"/>
      <c r="C71" s="2" t="s">
        <v>357</v>
      </c>
      <c r="D71" s="2" t="s">
        <v>560</v>
      </c>
      <c r="E71" s="3">
        <v>0.064</v>
      </c>
      <c r="F71" s="14">
        <v>12.27</v>
      </c>
      <c r="G71" s="14">
        <f t="shared" si="2"/>
        <v>0.78528</v>
      </c>
      <c r="H71" s="4"/>
      <c r="I71" s="95"/>
      <c r="J71" s="5"/>
    </row>
    <row r="72" spans="1:10" ht="15.75">
      <c r="A72" s="174" t="s">
        <v>562</v>
      </c>
      <c r="B72" s="24"/>
      <c r="C72" s="2" t="s">
        <v>357</v>
      </c>
      <c r="D72" s="2" t="s">
        <v>563</v>
      </c>
      <c r="E72" s="3">
        <v>0.086</v>
      </c>
      <c r="F72" s="14">
        <v>13.18</v>
      </c>
      <c r="G72" s="14">
        <f t="shared" si="2"/>
        <v>1.1334799999999998</v>
      </c>
      <c r="H72" s="4"/>
      <c r="I72" s="95"/>
      <c r="J72" s="5"/>
    </row>
    <row r="73" spans="1:10" ht="15.75">
      <c r="A73" s="174" t="s">
        <v>565</v>
      </c>
      <c r="B73" s="24"/>
      <c r="C73" s="2" t="s">
        <v>294</v>
      </c>
      <c r="D73" s="2" t="s">
        <v>519</v>
      </c>
      <c r="E73" s="3">
        <v>6.59</v>
      </c>
      <c r="F73" s="268">
        <v>4.3</v>
      </c>
      <c r="G73" s="14">
        <f t="shared" si="2"/>
        <v>28.337</v>
      </c>
      <c r="H73" s="4"/>
      <c r="I73" s="95"/>
      <c r="J73" s="5"/>
    </row>
    <row r="74" spans="1:10" ht="15.75">
      <c r="A74" s="174" t="s">
        <v>520</v>
      </c>
      <c r="B74" s="24"/>
      <c r="C74" s="2" t="s">
        <v>287</v>
      </c>
      <c r="D74" s="2" t="s">
        <v>521</v>
      </c>
      <c r="E74" s="3">
        <v>0.74</v>
      </c>
      <c r="F74" s="14">
        <v>0.86</v>
      </c>
      <c r="G74" s="14">
        <f t="shared" si="2"/>
        <v>0.6364</v>
      </c>
      <c r="H74" s="4"/>
      <c r="I74" s="95"/>
      <c r="J74" s="5"/>
    </row>
    <row r="75" spans="1:10" ht="15.75">
      <c r="A75" s="174" t="s">
        <v>573</v>
      </c>
      <c r="B75" s="24"/>
      <c r="C75" s="2" t="s">
        <v>574</v>
      </c>
      <c r="D75" s="2" t="s">
        <v>575</v>
      </c>
      <c r="E75" s="3">
        <v>0.17</v>
      </c>
      <c r="F75" s="268">
        <v>100</v>
      </c>
      <c r="G75" s="14">
        <f t="shared" si="2"/>
        <v>17</v>
      </c>
      <c r="H75" s="4"/>
      <c r="I75" s="95"/>
      <c r="J75" s="5"/>
    </row>
    <row r="76" spans="1:10" ht="15.75">
      <c r="A76" s="174" t="s">
        <v>576</v>
      </c>
      <c r="B76" s="24"/>
      <c r="C76" s="2" t="s">
        <v>574</v>
      </c>
      <c r="D76" s="2" t="s">
        <v>577</v>
      </c>
      <c r="E76" s="3">
        <v>0.09</v>
      </c>
      <c r="F76" s="268">
        <v>120</v>
      </c>
      <c r="G76" s="14">
        <f t="shared" si="2"/>
        <v>10.799999999999999</v>
      </c>
      <c r="H76" s="4"/>
      <c r="I76" s="95"/>
      <c r="J76" s="5"/>
    </row>
    <row r="77" spans="1:10" ht="15.75">
      <c r="A77" s="174" t="s">
        <v>578</v>
      </c>
      <c r="B77" s="24"/>
      <c r="C77" s="2" t="s">
        <v>294</v>
      </c>
      <c r="D77" s="2" t="s">
        <v>579</v>
      </c>
      <c r="E77" s="3">
        <v>1.9</v>
      </c>
      <c r="F77" s="14">
        <v>0.28</v>
      </c>
      <c r="G77" s="14">
        <f t="shared" si="2"/>
        <v>0.532</v>
      </c>
      <c r="H77" s="4"/>
      <c r="I77" s="95"/>
      <c r="J77" s="5"/>
    </row>
    <row r="78" spans="1:10" ht="15.75">
      <c r="A78" s="101" t="s">
        <v>580</v>
      </c>
      <c r="B78" s="24"/>
      <c r="C78" s="2" t="s">
        <v>294</v>
      </c>
      <c r="D78" s="2" t="s">
        <v>581</v>
      </c>
      <c r="E78" s="3">
        <v>1.84</v>
      </c>
      <c r="F78" s="14">
        <v>6.17</v>
      </c>
      <c r="G78" s="14">
        <f t="shared" si="2"/>
        <v>11.3528</v>
      </c>
      <c r="H78" s="4"/>
      <c r="I78" s="95"/>
      <c r="J78" s="5"/>
    </row>
    <row r="79" spans="1:10" ht="15.75">
      <c r="A79" s="101" t="s">
        <v>582</v>
      </c>
      <c r="B79" s="24"/>
      <c r="C79" s="2" t="s">
        <v>287</v>
      </c>
      <c r="D79" s="2" t="s">
        <v>583</v>
      </c>
      <c r="E79" s="3">
        <v>0.16</v>
      </c>
      <c r="F79" s="268">
        <v>2.5</v>
      </c>
      <c r="G79" s="14">
        <f t="shared" si="2"/>
        <v>0.4</v>
      </c>
      <c r="H79" s="4"/>
      <c r="I79" s="95"/>
      <c r="J79" s="5"/>
    </row>
    <row r="80" spans="1:10" ht="15.75">
      <c r="A80" s="101" t="s">
        <v>289</v>
      </c>
      <c r="B80" s="24"/>
      <c r="C80" s="2" t="s">
        <v>228</v>
      </c>
      <c r="D80" s="2" t="s">
        <v>290</v>
      </c>
      <c r="E80" s="3">
        <v>3.83</v>
      </c>
      <c r="F80" s="14">
        <f>+C153</f>
        <v>6.89</v>
      </c>
      <c r="G80" s="1"/>
      <c r="H80" s="14">
        <f>E80*F80</f>
        <v>26.3887</v>
      </c>
      <c r="I80" s="95"/>
      <c r="J80" s="5"/>
    </row>
    <row r="81" spans="1:10" ht="15.75">
      <c r="A81" s="101" t="s">
        <v>227</v>
      </c>
      <c r="B81" s="24"/>
      <c r="C81" s="2" t="s">
        <v>228</v>
      </c>
      <c r="D81" s="2" t="s">
        <v>229</v>
      </c>
      <c r="E81" s="3">
        <v>3.83</v>
      </c>
      <c r="F81" s="14">
        <f>+C154</f>
        <v>4.38</v>
      </c>
      <c r="G81" s="4"/>
      <c r="H81" s="14">
        <f>E81*F81</f>
        <v>16.7754</v>
      </c>
      <c r="I81" s="95"/>
      <c r="J81" s="5"/>
    </row>
    <row r="82" spans="1:10" ht="15.75">
      <c r="A82" s="101"/>
      <c r="B82" s="24"/>
      <c r="C82" s="2"/>
      <c r="D82" s="2"/>
      <c r="E82" s="3"/>
      <c r="F82" s="14"/>
      <c r="G82" s="254">
        <f>SUM(G69:G79)</f>
        <v>73.29896000000001</v>
      </c>
      <c r="H82" s="85">
        <f>SUM(H80:H81)</f>
        <v>43.164100000000005</v>
      </c>
      <c r="I82" s="95"/>
      <c r="J82" s="5"/>
    </row>
    <row r="83" spans="1:10" ht="15.75">
      <c r="A83" s="123" t="s">
        <v>593</v>
      </c>
      <c r="B83" s="24"/>
      <c r="C83" s="2"/>
      <c r="D83" s="2"/>
      <c r="E83" s="3"/>
      <c r="F83" s="14"/>
      <c r="G83" s="85"/>
      <c r="H83" s="85"/>
      <c r="I83" s="95"/>
      <c r="J83" s="5"/>
    </row>
    <row r="84" spans="1:10" ht="15.75">
      <c r="A84" s="137" t="s">
        <v>594</v>
      </c>
      <c r="B84" s="24" t="s">
        <v>389</v>
      </c>
      <c r="C84" s="2" t="s">
        <v>228</v>
      </c>
      <c r="D84" s="2" t="s">
        <v>229</v>
      </c>
      <c r="E84" s="3">
        <v>2.5</v>
      </c>
      <c r="F84" s="14">
        <f>+C154</f>
        <v>4.38</v>
      </c>
      <c r="G84" s="4"/>
      <c r="H84" s="14">
        <f>E84*F84</f>
        <v>10.95</v>
      </c>
      <c r="I84" s="95">
        <f>E84*F84</f>
        <v>10.95</v>
      </c>
      <c r="J84" s="5"/>
    </row>
    <row r="85" spans="1:10" ht="16.5" thickBot="1">
      <c r="A85" s="90"/>
      <c r="B85" s="24"/>
      <c r="C85" s="2"/>
      <c r="D85" s="2"/>
      <c r="E85" s="3"/>
      <c r="F85" s="14"/>
      <c r="G85" s="85">
        <v>0</v>
      </c>
      <c r="H85" s="85">
        <f>E84*F84</f>
        <v>10.95</v>
      </c>
      <c r="I85" s="95"/>
      <c r="J85" s="5"/>
    </row>
    <row r="86" spans="1:10" ht="16.5" thickTop="1">
      <c r="A86" s="122">
        <v>6.4</v>
      </c>
      <c r="B86" s="24"/>
      <c r="C86" s="2"/>
      <c r="D86" s="2"/>
      <c r="E86" s="3"/>
      <c r="F86" s="14"/>
      <c r="G86" s="85"/>
      <c r="H86" s="85"/>
      <c r="I86" s="95"/>
      <c r="J86" s="5"/>
    </row>
    <row r="87" spans="1:10" ht="15.75">
      <c r="A87" s="123" t="s">
        <v>600</v>
      </c>
      <c r="B87" s="24"/>
      <c r="C87" s="2"/>
      <c r="D87" s="2"/>
      <c r="E87" s="3"/>
      <c r="F87" s="14"/>
      <c r="G87" s="85"/>
      <c r="H87" s="85"/>
      <c r="I87" s="95"/>
      <c r="J87" s="5"/>
    </row>
    <row r="88" spans="1:10" ht="15.75">
      <c r="A88" s="123" t="s">
        <v>601</v>
      </c>
      <c r="B88" s="24"/>
      <c r="C88" s="2"/>
      <c r="D88" s="2"/>
      <c r="E88" s="3"/>
      <c r="F88" s="14"/>
      <c r="G88" s="85"/>
      <c r="H88" s="85"/>
      <c r="I88" s="95"/>
      <c r="J88" s="5"/>
    </row>
    <row r="89" spans="1:10" ht="15.75">
      <c r="A89" s="137" t="s">
        <v>602</v>
      </c>
      <c r="B89" s="24"/>
      <c r="C89" s="2"/>
      <c r="D89" s="2"/>
      <c r="E89" s="3"/>
      <c r="F89" s="14"/>
      <c r="G89" s="85"/>
      <c r="H89" s="85"/>
      <c r="I89" s="95"/>
      <c r="J89" s="5"/>
    </row>
    <row r="90" spans="1:10" ht="15.75">
      <c r="A90" s="137" t="s">
        <v>603</v>
      </c>
      <c r="B90" s="24"/>
      <c r="C90" s="2"/>
      <c r="D90" s="2"/>
      <c r="E90" s="3"/>
      <c r="F90" s="14"/>
      <c r="G90" s="85"/>
      <c r="H90" s="85"/>
      <c r="I90" s="95"/>
      <c r="J90" s="5"/>
    </row>
    <row r="91" spans="1:10" ht="15.75">
      <c r="A91" s="137" t="s">
        <v>604</v>
      </c>
      <c r="B91" s="24"/>
      <c r="C91" s="2"/>
      <c r="D91" s="2"/>
      <c r="E91" s="3"/>
      <c r="F91" s="14"/>
      <c r="G91" s="85"/>
      <c r="H91" s="85"/>
      <c r="I91" s="95"/>
      <c r="J91" s="5"/>
    </row>
    <row r="92" spans="1:10" ht="15.75">
      <c r="A92" s="123" t="s">
        <v>605</v>
      </c>
      <c r="B92" s="24"/>
      <c r="C92" s="2"/>
      <c r="D92" s="2"/>
      <c r="E92" s="3"/>
      <c r="F92" s="14"/>
      <c r="G92" s="85"/>
      <c r="H92" s="85"/>
      <c r="I92" s="95"/>
      <c r="J92" s="5"/>
    </row>
    <row r="93" spans="1:10" ht="15.75">
      <c r="A93" s="123" t="s">
        <v>606</v>
      </c>
      <c r="B93" s="24"/>
      <c r="C93" s="2"/>
      <c r="D93" s="2"/>
      <c r="E93" s="3"/>
      <c r="F93" s="14"/>
      <c r="G93" s="85"/>
      <c r="H93" s="85"/>
      <c r="I93" s="95"/>
      <c r="J93" s="5"/>
    </row>
    <row r="94" spans="1:10" ht="15.75">
      <c r="A94" s="172" t="s">
        <v>607</v>
      </c>
      <c r="B94" s="24" t="s">
        <v>387</v>
      </c>
      <c r="C94" s="2" t="s">
        <v>287</v>
      </c>
      <c r="D94" s="2" t="s">
        <v>355</v>
      </c>
      <c r="E94" s="3">
        <v>4.7</v>
      </c>
      <c r="F94" s="14">
        <v>0.12</v>
      </c>
      <c r="G94" s="14">
        <f aca="true" t="shared" si="3" ref="G94:G102">E94*F94</f>
        <v>0.564</v>
      </c>
      <c r="H94" s="4"/>
      <c r="I94" s="95">
        <f>SUM(G105,H105)</f>
        <v>79.74126000000001</v>
      </c>
      <c r="J94" s="5"/>
    </row>
    <row r="95" spans="1:10" ht="15.75">
      <c r="A95" s="101" t="s">
        <v>557</v>
      </c>
      <c r="B95" s="24"/>
      <c r="C95" s="2" t="s">
        <v>287</v>
      </c>
      <c r="D95" s="2" t="s">
        <v>377</v>
      </c>
      <c r="E95" s="3">
        <v>8.2</v>
      </c>
      <c r="F95" s="14">
        <v>0.09</v>
      </c>
      <c r="G95" s="14">
        <f t="shared" si="3"/>
        <v>0.7379999999999999</v>
      </c>
      <c r="H95" s="4"/>
      <c r="I95" s="95"/>
      <c r="J95" s="5"/>
    </row>
    <row r="96" spans="1:10" ht="15.75">
      <c r="A96" s="101" t="s">
        <v>559</v>
      </c>
      <c r="B96" s="24"/>
      <c r="C96" s="2" t="s">
        <v>357</v>
      </c>
      <c r="D96" s="2" t="s">
        <v>560</v>
      </c>
      <c r="E96" s="3">
        <v>0.044</v>
      </c>
      <c r="F96" s="14">
        <v>12.27</v>
      </c>
      <c r="G96" s="14">
        <f t="shared" si="3"/>
        <v>0.5398799999999999</v>
      </c>
      <c r="H96" s="4"/>
      <c r="I96" s="95"/>
      <c r="J96" s="5"/>
    </row>
    <row r="97" spans="1:10" ht="15.75">
      <c r="A97" s="101" t="s">
        <v>562</v>
      </c>
      <c r="B97" s="24"/>
      <c r="C97" s="2" t="s">
        <v>357</v>
      </c>
      <c r="D97" s="2" t="s">
        <v>563</v>
      </c>
      <c r="E97" s="3">
        <v>0.086</v>
      </c>
      <c r="F97" s="14">
        <v>13.18</v>
      </c>
      <c r="G97" s="14">
        <f t="shared" si="3"/>
        <v>1.1334799999999998</v>
      </c>
      <c r="H97" s="4"/>
      <c r="I97" s="95"/>
      <c r="J97" s="5"/>
    </row>
    <row r="98" spans="1:10" ht="15.75">
      <c r="A98" s="101" t="s">
        <v>608</v>
      </c>
      <c r="B98" s="24"/>
      <c r="C98" s="2" t="s">
        <v>294</v>
      </c>
      <c r="D98" s="2" t="s">
        <v>519</v>
      </c>
      <c r="E98" s="3">
        <v>4.78</v>
      </c>
      <c r="F98" s="268">
        <v>4.3</v>
      </c>
      <c r="G98" s="14">
        <f t="shared" si="3"/>
        <v>20.554</v>
      </c>
      <c r="H98" s="4"/>
      <c r="I98" s="95"/>
      <c r="J98" s="5"/>
    </row>
    <row r="99" spans="1:10" ht="15.75">
      <c r="A99" s="101" t="s">
        <v>520</v>
      </c>
      <c r="B99" s="24"/>
      <c r="C99" s="2" t="s">
        <v>287</v>
      </c>
      <c r="D99" s="2" t="s">
        <v>521</v>
      </c>
      <c r="E99" s="3">
        <v>0.56</v>
      </c>
      <c r="F99" s="14">
        <v>0.86</v>
      </c>
      <c r="G99" s="14">
        <f t="shared" si="3"/>
        <v>0.48160000000000003</v>
      </c>
      <c r="H99" s="4"/>
      <c r="I99" s="95"/>
      <c r="J99" s="5"/>
    </row>
    <row r="100" spans="1:10" ht="15.75">
      <c r="A100" s="101" t="s">
        <v>576</v>
      </c>
      <c r="B100" s="24"/>
      <c r="C100" s="2" t="s">
        <v>574</v>
      </c>
      <c r="D100" s="2" t="s">
        <v>577</v>
      </c>
      <c r="E100" s="3">
        <v>0.1</v>
      </c>
      <c r="F100" s="268">
        <v>120</v>
      </c>
      <c r="G100" s="14">
        <f t="shared" si="3"/>
        <v>12</v>
      </c>
      <c r="H100" s="4"/>
      <c r="I100" s="95"/>
      <c r="J100" s="5"/>
    </row>
    <row r="101" spans="1:10" ht="15.75">
      <c r="A101" s="174" t="s">
        <v>580</v>
      </c>
      <c r="B101" s="24"/>
      <c r="C101" s="2" t="s">
        <v>294</v>
      </c>
      <c r="D101" s="2" t="s">
        <v>581</v>
      </c>
      <c r="E101" s="3">
        <v>1.68</v>
      </c>
      <c r="F101" s="14">
        <v>6.17</v>
      </c>
      <c r="G101" s="14">
        <f t="shared" si="3"/>
        <v>10.365599999999999</v>
      </c>
      <c r="H101" s="4"/>
      <c r="I101" s="95"/>
      <c r="J101" s="5"/>
    </row>
    <row r="102" spans="1:10" ht="15.75">
      <c r="A102" s="174" t="s">
        <v>582</v>
      </c>
      <c r="B102" s="24"/>
      <c r="C102" s="2" t="s">
        <v>287</v>
      </c>
      <c r="D102" s="2" t="s">
        <v>583</v>
      </c>
      <c r="E102" s="3">
        <v>0.14</v>
      </c>
      <c r="F102" s="268">
        <v>2.5</v>
      </c>
      <c r="G102" s="14">
        <f t="shared" si="3"/>
        <v>0.35000000000000003</v>
      </c>
      <c r="H102" s="4"/>
      <c r="I102" s="95"/>
      <c r="J102" s="5"/>
    </row>
    <row r="103" spans="1:10" ht="15.75">
      <c r="A103" s="174" t="s">
        <v>289</v>
      </c>
      <c r="B103" s="24"/>
      <c r="C103" s="2" t="s">
        <v>228</v>
      </c>
      <c r="D103" s="2" t="s">
        <v>290</v>
      </c>
      <c r="E103" s="3">
        <v>2.91</v>
      </c>
      <c r="F103" s="14">
        <f>+C153</f>
        <v>6.89</v>
      </c>
      <c r="G103" s="1"/>
      <c r="H103" s="14">
        <f>E103*F103</f>
        <v>20.0499</v>
      </c>
      <c r="I103" s="95"/>
      <c r="J103" s="5"/>
    </row>
    <row r="104" spans="1:10" ht="15.75">
      <c r="A104" s="174" t="s">
        <v>227</v>
      </c>
      <c r="B104" s="24"/>
      <c r="C104" s="2" t="s">
        <v>228</v>
      </c>
      <c r="D104" s="2" t="s">
        <v>229</v>
      </c>
      <c r="E104" s="3">
        <v>2.96</v>
      </c>
      <c r="F104" s="14">
        <f>+C154</f>
        <v>4.38</v>
      </c>
      <c r="G104" s="4"/>
      <c r="H104" s="14">
        <f>E104*F104</f>
        <v>12.9648</v>
      </c>
      <c r="I104" s="95"/>
      <c r="J104" s="5"/>
    </row>
    <row r="105" spans="1:10" ht="15.75">
      <c r="A105" s="174"/>
      <c r="B105" s="24"/>
      <c r="C105" s="2"/>
      <c r="D105" s="2"/>
      <c r="E105" s="3"/>
      <c r="F105" s="14"/>
      <c r="G105" s="254">
        <f>SUM(G94:G102)</f>
        <v>46.72656</v>
      </c>
      <c r="H105" s="85">
        <f>SUM(H103:H104)</f>
        <v>33.014700000000005</v>
      </c>
      <c r="I105" s="95"/>
      <c r="J105" s="5"/>
    </row>
    <row r="106" spans="1:10" ht="15.75">
      <c r="A106" s="173" t="s">
        <v>593</v>
      </c>
      <c r="B106" s="24"/>
      <c r="C106" s="2"/>
      <c r="D106" s="2"/>
      <c r="E106" s="3"/>
      <c r="F106" s="14"/>
      <c r="G106" s="85"/>
      <c r="H106" s="85"/>
      <c r="I106" s="95"/>
      <c r="J106" s="5"/>
    </row>
    <row r="107" spans="1:10" ht="15.75">
      <c r="A107" s="172" t="s">
        <v>594</v>
      </c>
      <c r="B107" s="24" t="s">
        <v>389</v>
      </c>
      <c r="C107" s="2" t="s">
        <v>228</v>
      </c>
      <c r="D107" s="2" t="s">
        <v>229</v>
      </c>
      <c r="E107" s="3">
        <v>2.4</v>
      </c>
      <c r="F107" s="14">
        <f>+C154</f>
        <v>4.38</v>
      </c>
      <c r="G107" s="4"/>
      <c r="H107" s="14">
        <f>E107*F107</f>
        <v>10.511999999999999</v>
      </c>
      <c r="I107" s="95">
        <f>E107*F107</f>
        <v>10.511999999999999</v>
      </c>
      <c r="J107" s="5"/>
    </row>
    <row r="108" spans="1:10" s="108" customFormat="1" ht="16.5" thickBot="1">
      <c r="A108" s="90"/>
      <c r="B108" s="28"/>
      <c r="C108" s="7"/>
      <c r="D108" s="7"/>
      <c r="E108" s="8"/>
      <c r="F108" s="10"/>
      <c r="G108" s="67">
        <v>0</v>
      </c>
      <c r="H108" s="67">
        <f>E107*F107</f>
        <v>10.511999999999999</v>
      </c>
      <c r="I108" s="96"/>
      <c r="J108" s="11"/>
    </row>
    <row r="109" spans="1:10" ht="16.5" thickTop="1">
      <c r="A109" s="122">
        <v>6.5</v>
      </c>
      <c r="B109" s="149"/>
      <c r="C109" s="56"/>
      <c r="D109" s="56"/>
      <c r="E109" s="70"/>
      <c r="F109" s="84"/>
      <c r="G109" s="115"/>
      <c r="H109" s="115"/>
      <c r="I109" s="95"/>
      <c r="J109" s="71"/>
    </row>
    <row r="110" spans="1:10" ht="15.75">
      <c r="A110" s="123" t="s">
        <v>609</v>
      </c>
      <c r="B110" s="24"/>
      <c r="C110" s="2"/>
      <c r="D110" s="2"/>
      <c r="E110" s="3"/>
      <c r="F110" s="14"/>
      <c r="G110" s="85"/>
      <c r="H110" s="85"/>
      <c r="I110" s="95"/>
      <c r="J110" s="5"/>
    </row>
    <row r="111" spans="1:10" ht="15.75">
      <c r="A111" s="123" t="s">
        <v>610</v>
      </c>
      <c r="B111" s="24"/>
      <c r="C111" s="2"/>
      <c r="D111" s="2"/>
      <c r="E111" s="3"/>
      <c r="F111" s="14"/>
      <c r="G111" s="85"/>
      <c r="H111" s="85"/>
      <c r="I111" s="95"/>
      <c r="J111" s="5"/>
    </row>
    <row r="112" spans="1:10" ht="15.75">
      <c r="A112" s="123" t="s">
        <v>611</v>
      </c>
      <c r="B112" s="24"/>
      <c r="C112" s="2"/>
      <c r="D112" s="2"/>
      <c r="E112" s="3"/>
      <c r="F112" s="14"/>
      <c r="G112" s="85"/>
      <c r="H112" s="85"/>
      <c r="I112" s="95"/>
      <c r="J112" s="5"/>
    </row>
    <row r="113" spans="1:10" ht="15.75">
      <c r="A113" s="123" t="s">
        <v>612</v>
      </c>
      <c r="B113" s="24"/>
      <c r="C113" s="2"/>
      <c r="D113" s="2"/>
      <c r="E113" s="3"/>
      <c r="F113" s="14"/>
      <c r="G113" s="85"/>
      <c r="H113" s="85"/>
      <c r="I113" s="95"/>
      <c r="J113" s="5"/>
    </row>
    <row r="114" spans="1:10" ht="15.75">
      <c r="A114" s="123" t="s">
        <v>613</v>
      </c>
      <c r="B114" s="24"/>
      <c r="C114" s="2"/>
      <c r="D114" s="2"/>
      <c r="E114" s="3"/>
      <c r="F114" s="14"/>
      <c r="G114" s="85"/>
      <c r="H114" s="85"/>
      <c r="I114" s="95"/>
      <c r="J114" s="5"/>
    </row>
    <row r="115" spans="1:10" ht="15.75">
      <c r="A115" s="123" t="s">
        <v>614</v>
      </c>
      <c r="B115" s="24"/>
      <c r="C115" s="2"/>
      <c r="D115" s="2"/>
      <c r="E115" s="3"/>
      <c r="F115" s="14"/>
      <c r="G115" s="85"/>
      <c r="H115" s="85"/>
      <c r="I115" s="95"/>
      <c r="J115" s="5"/>
    </row>
    <row r="116" spans="1:10" ht="15.75">
      <c r="A116" s="123" t="s">
        <v>615</v>
      </c>
      <c r="B116" s="24"/>
      <c r="C116" s="2"/>
      <c r="D116" s="2"/>
      <c r="E116" s="3"/>
      <c r="F116" s="14"/>
      <c r="G116" s="85"/>
      <c r="H116" s="85"/>
      <c r="I116" s="95"/>
      <c r="J116" s="5"/>
    </row>
    <row r="117" spans="1:10" ht="15.75">
      <c r="A117" s="123" t="s">
        <v>616</v>
      </c>
      <c r="B117" s="24"/>
      <c r="C117" s="2"/>
      <c r="D117" s="2"/>
      <c r="E117" s="3"/>
      <c r="F117" s="14"/>
      <c r="G117" s="85"/>
      <c r="H117" s="85"/>
      <c r="I117" s="95"/>
      <c r="J117" s="5"/>
    </row>
    <row r="118" spans="1:10" ht="15.75">
      <c r="A118" s="123" t="s">
        <v>617</v>
      </c>
      <c r="B118" s="24"/>
      <c r="C118" s="2"/>
      <c r="D118" s="2"/>
      <c r="E118" s="3"/>
      <c r="F118" s="14"/>
      <c r="G118" s="85"/>
      <c r="H118" s="85"/>
      <c r="I118" s="95"/>
      <c r="J118" s="5"/>
    </row>
    <row r="119" spans="1:10" ht="15.75">
      <c r="A119" s="123" t="s">
        <v>618</v>
      </c>
      <c r="B119" s="24"/>
      <c r="C119" s="2"/>
      <c r="D119" s="2"/>
      <c r="E119" s="3"/>
      <c r="F119" s="14"/>
      <c r="G119" s="85"/>
      <c r="H119" s="85"/>
      <c r="I119" s="95"/>
      <c r="J119" s="5"/>
    </row>
    <row r="120" spans="1:10" ht="15.75">
      <c r="A120" s="123" t="s">
        <v>619</v>
      </c>
      <c r="B120" s="24"/>
      <c r="C120" s="2"/>
      <c r="D120" s="2"/>
      <c r="E120" s="3"/>
      <c r="F120" s="14"/>
      <c r="G120" s="85"/>
      <c r="H120" s="85"/>
      <c r="I120" s="95"/>
      <c r="J120" s="5"/>
    </row>
    <row r="121" spans="1:10" ht="15.75">
      <c r="A121" s="123" t="s">
        <v>620</v>
      </c>
      <c r="B121" s="24"/>
      <c r="C121" s="2"/>
      <c r="D121" s="2"/>
      <c r="E121" s="3"/>
      <c r="F121" s="14"/>
      <c r="G121" s="85"/>
      <c r="H121" s="85"/>
      <c r="I121" s="95"/>
      <c r="J121" s="5"/>
    </row>
    <row r="122" spans="1:10" ht="15.75">
      <c r="A122" s="123" t="s">
        <v>621</v>
      </c>
      <c r="B122" s="24"/>
      <c r="C122" s="2"/>
      <c r="D122" s="2"/>
      <c r="E122" s="3"/>
      <c r="F122" s="14"/>
      <c r="G122" s="85"/>
      <c r="H122" s="85"/>
      <c r="I122" s="95"/>
      <c r="J122" s="5"/>
    </row>
    <row r="123" spans="1:10" ht="15.75">
      <c r="A123" s="123" t="s">
        <v>622</v>
      </c>
      <c r="B123" s="24"/>
      <c r="C123" s="2"/>
      <c r="D123" s="2"/>
      <c r="E123" s="3"/>
      <c r="F123" s="14"/>
      <c r="G123" s="85"/>
      <c r="H123" s="85"/>
      <c r="I123" s="95"/>
      <c r="J123" s="5"/>
    </row>
    <row r="124" spans="1:10" ht="15.75">
      <c r="A124" s="123" t="s">
        <v>623</v>
      </c>
      <c r="B124" s="24"/>
      <c r="C124" s="2"/>
      <c r="D124" s="2"/>
      <c r="E124" s="3"/>
      <c r="F124" s="14"/>
      <c r="G124" s="85"/>
      <c r="H124" s="85"/>
      <c r="I124" s="95"/>
      <c r="J124" s="5"/>
    </row>
    <row r="125" spans="1:10" ht="15.75">
      <c r="A125" s="101" t="s">
        <v>624</v>
      </c>
      <c r="B125" s="24" t="s">
        <v>387</v>
      </c>
      <c r="C125" s="2" t="s">
        <v>287</v>
      </c>
      <c r="D125" s="2" t="s">
        <v>355</v>
      </c>
      <c r="E125" s="3">
        <v>78.56</v>
      </c>
      <c r="F125" s="14">
        <v>0.12</v>
      </c>
      <c r="G125" s="14">
        <f aca="true" t="shared" si="4" ref="G125:G143">E125*F125</f>
        <v>9.4272</v>
      </c>
      <c r="H125" s="4"/>
      <c r="I125" s="95">
        <f>SUM(G146,H146)</f>
        <v>172.9715</v>
      </c>
      <c r="J125" s="5"/>
    </row>
    <row r="126" spans="1:10" ht="15.75">
      <c r="A126" s="101" t="s">
        <v>557</v>
      </c>
      <c r="B126" s="24"/>
      <c r="C126" s="2" t="s">
        <v>287</v>
      </c>
      <c r="D126" s="2" t="s">
        <v>377</v>
      </c>
      <c r="E126" s="3">
        <v>51.1</v>
      </c>
      <c r="F126" s="14">
        <v>0.09</v>
      </c>
      <c r="G126" s="14">
        <f t="shared" si="4"/>
        <v>4.599</v>
      </c>
      <c r="H126" s="4"/>
      <c r="I126" s="95"/>
      <c r="J126" s="5"/>
    </row>
    <row r="127" spans="1:10" ht="15.75">
      <c r="A127" s="101" t="s">
        <v>559</v>
      </c>
      <c r="B127" s="24"/>
      <c r="C127" s="2" t="s">
        <v>357</v>
      </c>
      <c r="D127" s="2" t="s">
        <v>560</v>
      </c>
      <c r="E127" s="3">
        <v>0.35</v>
      </c>
      <c r="F127" s="14">
        <v>12.27</v>
      </c>
      <c r="G127" s="14">
        <f t="shared" si="4"/>
        <v>4.294499999999999</v>
      </c>
      <c r="H127" s="4"/>
      <c r="I127" s="95"/>
      <c r="J127" s="5"/>
    </row>
    <row r="128" spans="1:10" ht="15.75">
      <c r="A128" s="101" t="s">
        <v>562</v>
      </c>
      <c r="B128" s="24"/>
      <c r="C128" s="2" t="s">
        <v>357</v>
      </c>
      <c r="D128" s="2" t="s">
        <v>563</v>
      </c>
      <c r="E128" s="3">
        <v>0.28</v>
      </c>
      <c r="F128" s="14">
        <v>13.18</v>
      </c>
      <c r="G128" s="14">
        <f t="shared" si="4"/>
        <v>3.6904000000000003</v>
      </c>
      <c r="H128" s="4"/>
      <c r="I128" s="95"/>
      <c r="J128" s="5"/>
    </row>
    <row r="129" spans="1:10" ht="15.75">
      <c r="A129" s="101" t="s">
        <v>625</v>
      </c>
      <c r="B129" s="24"/>
      <c r="C129" s="2" t="s">
        <v>574</v>
      </c>
      <c r="D129" s="2" t="s">
        <v>626</v>
      </c>
      <c r="E129" s="3">
        <v>128</v>
      </c>
      <c r="F129" s="14">
        <v>0.12</v>
      </c>
      <c r="G129" s="14">
        <f t="shared" si="4"/>
        <v>15.36</v>
      </c>
      <c r="H129" s="4"/>
      <c r="I129" s="95"/>
      <c r="J129" s="5"/>
    </row>
    <row r="130" spans="1:10" ht="15.75">
      <c r="A130" s="101" t="s">
        <v>627</v>
      </c>
      <c r="B130" s="24"/>
      <c r="C130" s="2" t="s">
        <v>574</v>
      </c>
      <c r="D130" s="2" t="s">
        <v>628</v>
      </c>
      <c r="E130" s="3">
        <v>31</v>
      </c>
      <c r="F130" s="14">
        <v>0.17</v>
      </c>
      <c r="G130" s="14">
        <f t="shared" si="4"/>
        <v>5.2700000000000005</v>
      </c>
      <c r="H130" s="4"/>
      <c r="I130" s="95"/>
      <c r="J130" s="5"/>
    </row>
    <row r="131" spans="1:10" ht="15.75">
      <c r="A131" s="101" t="s">
        <v>629</v>
      </c>
      <c r="B131" s="24"/>
      <c r="C131" s="2" t="s">
        <v>574</v>
      </c>
      <c r="D131" s="2" t="s">
        <v>630</v>
      </c>
      <c r="E131" s="3">
        <v>0.18</v>
      </c>
      <c r="F131" s="268">
        <v>74</v>
      </c>
      <c r="G131" s="14">
        <f t="shared" si="4"/>
        <v>13.32</v>
      </c>
      <c r="H131" s="4"/>
      <c r="I131" s="95"/>
      <c r="J131" s="5"/>
    </row>
    <row r="132" spans="1:10" ht="15.75">
      <c r="A132" s="101" t="s">
        <v>565</v>
      </c>
      <c r="B132" s="24"/>
      <c r="C132" s="2" t="s">
        <v>294</v>
      </c>
      <c r="D132" s="2" t="s">
        <v>519</v>
      </c>
      <c r="E132" s="3">
        <v>0.48</v>
      </c>
      <c r="F132" s="268">
        <v>4.3</v>
      </c>
      <c r="G132" s="14">
        <f t="shared" si="4"/>
        <v>2.064</v>
      </c>
      <c r="H132" s="4"/>
      <c r="I132" s="95"/>
      <c r="J132" s="5"/>
    </row>
    <row r="133" spans="1:10" ht="15.75">
      <c r="A133" s="101" t="s">
        <v>580</v>
      </c>
      <c r="B133" s="24"/>
      <c r="C133" s="2" t="s">
        <v>294</v>
      </c>
      <c r="D133" s="2" t="s">
        <v>581</v>
      </c>
      <c r="E133" s="3">
        <v>1.39</v>
      </c>
      <c r="F133" s="14">
        <v>6.17</v>
      </c>
      <c r="G133" s="14">
        <f t="shared" si="4"/>
        <v>8.5763</v>
      </c>
      <c r="H133" s="4"/>
      <c r="I133" s="95"/>
      <c r="J133" s="5"/>
    </row>
    <row r="134" spans="1:10" ht="15.75">
      <c r="A134" s="101" t="s">
        <v>582</v>
      </c>
      <c r="B134" s="24"/>
      <c r="C134" s="2" t="s">
        <v>287</v>
      </c>
      <c r="D134" s="2" t="s">
        <v>521</v>
      </c>
      <c r="E134" s="3">
        <v>0.14</v>
      </c>
      <c r="F134" s="268">
        <v>2.5</v>
      </c>
      <c r="G134" s="14">
        <f t="shared" si="4"/>
        <v>0.35000000000000003</v>
      </c>
      <c r="H134" s="4"/>
      <c r="I134" s="95"/>
      <c r="J134" s="5"/>
    </row>
    <row r="135" spans="1:10" ht="15.75">
      <c r="A135" s="101" t="s">
        <v>631</v>
      </c>
      <c r="B135" s="24"/>
      <c r="C135" s="2" t="s">
        <v>574</v>
      </c>
      <c r="D135" s="2" t="s">
        <v>632</v>
      </c>
      <c r="E135" s="3">
        <v>0.174</v>
      </c>
      <c r="F135" s="268">
        <v>120</v>
      </c>
      <c r="G135" s="14">
        <f t="shared" si="4"/>
        <v>20.88</v>
      </c>
      <c r="H135" s="4"/>
      <c r="I135" s="95"/>
      <c r="J135" s="5"/>
    </row>
    <row r="136" spans="1:10" ht="15.75">
      <c r="A136" s="101" t="s">
        <v>633</v>
      </c>
      <c r="B136" s="24"/>
      <c r="C136" s="2" t="s">
        <v>634</v>
      </c>
      <c r="D136" s="2" t="s">
        <v>635</v>
      </c>
      <c r="E136" s="3">
        <v>0.81</v>
      </c>
      <c r="F136" s="14">
        <v>3.25</v>
      </c>
      <c r="G136" s="14">
        <f t="shared" si="4"/>
        <v>2.6325000000000003</v>
      </c>
      <c r="H136" s="4"/>
      <c r="I136" s="95"/>
      <c r="J136" s="5"/>
    </row>
    <row r="137" spans="1:10" ht="15.75">
      <c r="A137" s="101" t="s">
        <v>636</v>
      </c>
      <c r="B137" s="24"/>
      <c r="C137" s="2" t="s">
        <v>634</v>
      </c>
      <c r="D137" s="2" t="s">
        <v>637</v>
      </c>
      <c r="E137" s="3">
        <v>0.58</v>
      </c>
      <c r="F137" s="14">
        <v>3.02</v>
      </c>
      <c r="G137" s="14">
        <f t="shared" si="4"/>
        <v>1.7515999999999998</v>
      </c>
      <c r="H137" s="4"/>
      <c r="I137" s="95"/>
      <c r="J137" s="5"/>
    </row>
    <row r="138" spans="1:10" ht="15.75">
      <c r="A138" s="101" t="s">
        <v>638</v>
      </c>
      <c r="B138" s="24"/>
      <c r="C138" s="2" t="s">
        <v>634</v>
      </c>
      <c r="D138" s="2" t="s">
        <v>639</v>
      </c>
      <c r="E138" s="3">
        <v>0.3</v>
      </c>
      <c r="F138" s="14">
        <v>2.03</v>
      </c>
      <c r="G138" s="14">
        <f t="shared" si="4"/>
        <v>0.6089999999999999</v>
      </c>
      <c r="H138" s="4"/>
      <c r="I138" s="95"/>
      <c r="J138" s="5"/>
    </row>
    <row r="139" spans="1:10" ht="15.75">
      <c r="A139" s="101" t="s">
        <v>640</v>
      </c>
      <c r="B139" s="24"/>
      <c r="C139" s="2" t="s">
        <v>634</v>
      </c>
      <c r="D139" s="2" t="s">
        <v>641</v>
      </c>
      <c r="E139" s="3">
        <v>0.24</v>
      </c>
      <c r="F139" s="14">
        <v>7.41</v>
      </c>
      <c r="G139" s="14">
        <f t="shared" si="4"/>
        <v>1.7784</v>
      </c>
      <c r="H139" s="4"/>
      <c r="I139" s="95"/>
      <c r="J139" s="5"/>
    </row>
    <row r="140" spans="1:10" ht="15.75">
      <c r="A140" s="101" t="s">
        <v>642</v>
      </c>
      <c r="B140" s="24"/>
      <c r="C140" s="2" t="s">
        <v>634</v>
      </c>
      <c r="D140" s="2" t="s">
        <v>643</v>
      </c>
      <c r="E140" s="3">
        <v>0.35</v>
      </c>
      <c r="F140" s="14">
        <v>3.71</v>
      </c>
      <c r="G140" s="14">
        <f t="shared" si="4"/>
        <v>1.2985</v>
      </c>
      <c r="H140" s="4"/>
      <c r="I140" s="95"/>
      <c r="J140" s="5"/>
    </row>
    <row r="141" spans="1:10" ht="15.75">
      <c r="A141" s="101" t="s">
        <v>644</v>
      </c>
      <c r="B141" s="24"/>
      <c r="C141" s="2" t="s">
        <v>574</v>
      </c>
      <c r="D141" s="2" t="s">
        <v>645</v>
      </c>
      <c r="E141" s="3">
        <v>0.56</v>
      </c>
      <c r="F141" s="14">
        <v>1.25</v>
      </c>
      <c r="G141" s="14">
        <f t="shared" si="4"/>
        <v>0.7000000000000001</v>
      </c>
      <c r="H141" s="4"/>
      <c r="I141" s="95"/>
      <c r="J141" s="5"/>
    </row>
    <row r="142" spans="1:10" ht="15.75">
      <c r="A142" s="101" t="s">
        <v>646</v>
      </c>
      <c r="B142" s="24"/>
      <c r="C142" s="2" t="s">
        <v>574</v>
      </c>
      <c r="D142" s="2" t="s">
        <v>647</v>
      </c>
      <c r="E142" s="3">
        <v>2.3</v>
      </c>
      <c r="F142" s="268">
        <v>0.5</v>
      </c>
      <c r="G142" s="14">
        <f t="shared" si="4"/>
        <v>1.15</v>
      </c>
      <c r="H142" s="4"/>
      <c r="I142" s="95"/>
      <c r="J142" s="5"/>
    </row>
    <row r="143" spans="1:10" ht="15.75">
      <c r="A143" s="101" t="s">
        <v>648</v>
      </c>
      <c r="B143" s="24"/>
      <c r="C143" s="2" t="s">
        <v>574</v>
      </c>
      <c r="D143" s="2" t="s">
        <v>649</v>
      </c>
      <c r="E143" s="3">
        <v>1.16</v>
      </c>
      <c r="F143" s="14">
        <v>3.19</v>
      </c>
      <c r="G143" s="14">
        <f t="shared" si="4"/>
        <v>3.7003999999999997</v>
      </c>
      <c r="H143" s="4"/>
      <c r="I143" s="95"/>
      <c r="J143" s="5"/>
    </row>
    <row r="144" spans="1:10" ht="15.75">
      <c r="A144" s="101" t="s">
        <v>289</v>
      </c>
      <c r="B144" s="24"/>
      <c r="C144" s="2" t="s">
        <v>228</v>
      </c>
      <c r="D144" s="2" t="s">
        <v>290</v>
      </c>
      <c r="E144" s="3">
        <v>6.21</v>
      </c>
      <c r="F144" s="14">
        <f>+C153</f>
        <v>6.89</v>
      </c>
      <c r="G144" s="1"/>
      <c r="H144" s="14">
        <f>E144*F144</f>
        <v>42.786899999999996</v>
      </c>
      <c r="I144" s="95"/>
      <c r="J144" s="5"/>
    </row>
    <row r="145" spans="1:10" ht="15.75">
      <c r="A145" s="101" t="s">
        <v>227</v>
      </c>
      <c r="B145" s="24"/>
      <c r="C145" s="2" t="s">
        <v>228</v>
      </c>
      <c r="D145" s="2" t="s">
        <v>229</v>
      </c>
      <c r="E145" s="3">
        <v>6.56</v>
      </c>
      <c r="F145" s="14">
        <f>+C154</f>
        <v>4.38</v>
      </c>
      <c r="G145" s="4"/>
      <c r="H145" s="14">
        <f>E145*F145</f>
        <v>28.732799999999997</v>
      </c>
      <c r="I145" s="95"/>
      <c r="J145" s="5"/>
    </row>
    <row r="146" spans="1:10" ht="15.75">
      <c r="A146" s="101"/>
      <c r="B146" s="24"/>
      <c r="C146" s="2"/>
      <c r="D146" s="2"/>
      <c r="E146" s="3"/>
      <c r="F146" s="14"/>
      <c r="G146" s="85">
        <f>SUM(G125:G143)</f>
        <v>101.4518</v>
      </c>
      <c r="H146" s="85">
        <f>SUM(H144:H145)</f>
        <v>71.5197</v>
      </c>
      <c r="I146" s="95"/>
      <c r="J146" s="5"/>
    </row>
    <row r="147" spans="1:10" ht="15.75">
      <c r="A147" s="123" t="s">
        <v>650</v>
      </c>
      <c r="B147" s="24"/>
      <c r="C147" s="2"/>
      <c r="D147" s="2"/>
      <c r="E147" s="3"/>
      <c r="F147" s="14"/>
      <c r="G147" s="85"/>
      <c r="H147" s="85"/>
      <c r="I147" s="95"/>
      <c r="J147" s="5"/>
    </row>
    <row r="148" spans="1:10" ht="15.75">
      <c r="A148" s="137" t="s">
        <v>594</v>
      </c>
      <c r="B148" s="24" t="s">
        <v>389</v>
      </c>
      <c r="C148" s="2" t="s">
        <v>228</v>
      </c>
      <c r="D148" s="2" t="s">
        <v>229</v>
      </c>
      <c r="E148" s="3">
        <v>2</v>
      </c>
      <c r="F148" s="14">
        <f>+C154</f>
        <v>4.38</v>
      </c>
      <c r="G148" s="4"/>
      <c r="H148" s="14">
        <f>E148*F148</f>
        <v>8.76</v>
      </c>
      <c r="I148" s="95">
        <f>E148*F148</f>
        <v>8.76</v>
      </c>
      <c r="J148" s="5"/>
    </row>
    <row r="149" spans="1:10" ht="16.5" thickBot="1">
      <c r="A149" s="93"/>
      <c r="B149" s="75"/>
      <c r="C149" s="63"/>
      <c r="D149" s="63"/>
      <c r="E149" s="64"/>
      <c r="F149" s="86"/>
      <c r="G149" s="66">
        <v>0</v>
      </c>
      <c r="H149" s="66">
        <f>E148*F148</f>
        <v>8.76</v>
      </c>
      <c r="I149" s="94"/>
      <c r="J149" s="20"/>
    </row>
    <row r="150" spans="1:9" ht="16.5" thickTop="1">
      <c r="A150" s="22"/>
      <c r="B150" s="40"/>
      <c r="C150" s="22"/>
      <c r="D150" s="22"/>
      <c r="E150" s="23"/>
      <c r="F150" s="21"/>
      <c r="G150" s="21"/>
      <c r="H150" s="21"/>
      <c r="I150" s="21"/>
    </row>
    <row r="151" spans="1:5" s="21" customFormat="1" ht="15.75">
      <c r="A151" s="22"/>
      <c r="B151" s="40"/>
      <c r="C151" s="22"/>
      <c r="D151" s="22"/>
      <c r="E151" s="23"/>
    </row>
    <row r="152" spans="1:5" s="21" customFormat="1" ht="15.75">
      <c r="A152" s="22"/>
      <c r="B152" s="40"/>
      <c r="C152" s="22"/>
      <c r="D152" s="22"/>
      <c r="E152" s="23"/>
    </row>
    <row r="153" spans="1:5" s="21" customFormat="1" ht="15.75">
      <c r="A153" s="22"/>
      <c r="B153" s="301" t="s">
        <v>290</v>
      </c>
      <c r="C153" s="40">
        <v>6.89</v>
      </c>
      <c r="D153" s="22"/>
      <c r="E153" s="23"/>
    </row>
    <row r="154" spans="1:5" s="21" customFormat="1" ht="15.75">
      <c r="A154" s="22"/>
      <c r="B154" s="301" t="s">
        <v>229</v>
      </c>
      <c r="C154" s="40">
        <v>4.38</v>
      </c>
      <c r="D154" s="22"/>
      <c r="E154" s="23"/>
    </row>
    <row r="155" spans="1:5" s="21" customFormat="1" ht="15.75">
      <c r="A155" s="22"/>
      <c r="B155" s="40"/>
      <c r="C155" s="22"/>
      <c r="D155" s="22"/>
      <c r="E155" s="23"/>
    </row>
    <row r="156" spans="1:5" s="21" customFormat="1" ht="15.75">
      <c r="A156" s="22"/>
      <c r="B156" s="40"/>
      <c r="C156" s="22"/>
      <c r="D156" s="22"/>
      <c r="E156" s="23"/>
    </row>
    <row r="157" spans="1:5" s="21" customFormat="1" ht="15.75">
      <c r="A157" s="22"/>
      <c r="B157" s="40"/>
      <c r="C157" s="22"/>
      <c r="D157" s="22"/>
      <c r="E157" s="23"/>
    </row>
    <row r="158" spans="1:5" s="21" customFormat="1" ht="15.75">
      <c r="A158" s="22"/>
      <c r="B158" s="40"/>
      <c r="C158" s="22"/>
      <c r="D158" s="22"/>
      <c r="E158" s="23"/>
    </row>
    <row r="159" spans="1:5" s="21" customFormat="1" ht="15.75">
      <c r="A159" s="22"/>
      <c r="B159" s="40"/>
      <c r="C159" s="22"/>
      <c r="D159" s="22"/>
      <c r="E159" s="23"/>
    </row>
    <row r="160" spans="1:5" s="21" customFormat="1" ht="15.75">
      <c r="A160" s="22"/>
      <c r="B160" s="40"/>
      <c r="C160" s="22"/>
      <c r="D160" s="22"/>
      <c r="E160" s="23"/>
    </row>
    <row r="161" spans="1:5" s="21" customFormat="1" ht="15.75">
      <c r="A161" s="22"/>
      <c r="B161" s="40"/>
      <c r="C161" s="22"/>
      <c r="D161" s="22"/>
      <c r="E161" s="23"/>
    </row>
    <row r="162" spans="1:5" s="21" customFormat="1" ht="15.75">
      <c r="A162" s="22"/>
      <c r="B162" s="40"/>
      <c r="C162" s="22"/>
      <c r="D162" s="22"/>
      <c r="E162" s="23"/>
    </row>
    <row r="163" spans="1:5" s="21" customFormat="1" ht="15.75">
      <c r="A163" s="22"/>
      <c r="B163" s="40"/>
      <c r="C163" s="22"/>
      <c r="D163" s="22"/>
      <c r="E163" s="23"/>
    </row>
    <row r="164" spans="1:5" s="21" customFormat="1" ht="15.75">
      <c r="A164" s="22"/>
      <c r="B164" s="40"/>
      <c r="C164" s="22"/>
      <c r="D164" s="22"/>
      <c r="E164" s="23"/>
    </row>
    <row r="165" spans="1:5" s="21" customFormat="1" ht="15.75">
      <c r="A165" s="22"/>
      <c r="B165" s="40"/>
      <c r="C165" s="22"/>
      <c r="D165" s="22"/>
      <c r="E165" s="23"/>
    </row>
    <row r="166" spans="1:5" s="21" customFormat="1" ht="15.75">
      <c r="A166" s="22"/>
      <c r="B166" s="40"/>
      <c r="C166" s="22"/>
      <c r="D166" s="22"/>
      <c r="E166" s="23"/>
    </row>
    <row r="167" spans="1:5" s="21" customFormat="1" ht="15.75">
      <c r="A167" s="22"/>
      <c r="B167" s="40"/>
      <c r="C167" s="22"/>
      <c r="D167" s="22"/>
      <c r="E167" s="23"/>
    </row>
    <row r="168" spans="1:5" s="21" customFormat="1" ht="15.75">
      <c r="A168" s="22"/>
      <c r="B168" s="40"/>
      <c r="C168" s="22"/>
      <c r="D168" s="22"/>
      <c r="E168" s="23"/>
    </row>
    <row r="169" spans="1:5" s="21" customFormat="1" ht="15.75">
      <c r="A169" s="22"/>
      <c r="B169" s="40"/>
      <c r="C169" s="22"/>
      <c r="D169" s="22"/>
      <c r="E169" s="23"/>
    </row>
    <row r="170" spans="1:5" s="21" customFormat="1" ht="15.75">
      <c r="A170" s="22"/>
      <c r="B170" s="40"/>
      <c r="C170" s="22"/>
      <c r="D170" s="22"/>
      <c r="E170" s="23"/>
    </row>
    <row r="171" spans="1:5" s="21" customFormat="1" ht="15.75">
      <c r="A171" s="22"/>
      <c r="B171" s="40"/>
      <c r="C171" s="22"/>
      <c r="D171" s="22"/>
      <c r="E171" s="23"/>
    </row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</sheetData>
  <printOptions horizontalCentered="1" verticalCentered="1"/>
  <pageMargins left="0.037041" right="0.038041" top="0.26" bottom="1" header="0" footer="0"/>
  <pageSetup horizontalDpi="200" verticalDpi="2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3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54.00390625" style="0" customWidth="1"/>
    <col min="2" max="2" width="5.28125" style="0" customWidth="1"/>
    <col min="3" max="4" width="8.421875" style="0" customWidth="1"/>
    <col min="5" max="5" width="10.57421875" style="0" customWidth="1"/>
    <col min="6" max="6" width="9.7109375" style="0" customWidth="1"/>
    <col min="7" max="8" width="10.28125" style="0" customWidth="1"/>
    <col min="9" max="9" width="10.8515625" style="0" customWidth="1"/>
    <col min="10" max="10" width="89.28125" style="0" customWidth="1"/>
  </cols>
  <sheetData>
    <row r="1" spans="1:10" ht="17.25" thickBot="1" thickTop="1">
      <c r="A1" s="275" t="s">
        <v>651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08" customFormat="1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s="1" customFormat="1" ht="16.5" thickTop="1">
      <c r="A3" s="171">
        <v>7.1</v>
      </c>
      <c r="B3" s="125"/>
      <c r="C3" s="125"/>
      <c r="D3" s="126"/>
      <c r="E3" s="126"/>
      <c r="F3" s="126"/>
      <c r="G3" s="125"/>
      <c r="H3" s="126"/>
      <c r="I3" s="125"/>
      <c r="J3" s="152"/>
    </row>
    <row r="4" spans="1:10" s="1" customFormat="1" ht="15.75">
      <c r="A4" s="179" t="s">
        <v>652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s="1" customFormat="1" ht="15.75">
      <c r="A5" s="179" t="s">
        <v>653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s="1" customFormat="1" ht="15.75">
      <c r="A6" s="179" t="s">
        <v>654</v>
      </c>
      <c r="B6" s="125"/>
      <c r="C6" s="125"/>
      <c r="D6" s="126"/>
      <c r="E6" s="126"/>
      <c r="F6" s="126"/>
      <c r="G6" s="125"/>
      <c r="H6" s="126"/>
      <c r="I6" s="125"/>
      <c r="J6" s="152"/>
    </row>
    <row r="7" spans="1:10" s="1" customFormat="1" ht="15.75">
      <c r="A7" s="179" t="s">
        <v>655</v>
      </c>
      <c r="B7" s="125"/>
      <c r="C7" s="125"/>
      <c r="D7" s="126"/>
      <c r="E7" s="126"/>
      <c r="F7" s="126"/>
      <c r="G7" s="125"/>
      <c r="H7" s="126"/>
      <c r="I7" s="125"/>
      <c r="J7" s="152"/>
    </row>
    <row r="8" spans="1:10" s="1" customFormat="1" ht="15.75">
      <c r="A8" s="179" t="s">
        <v>656</v>
      </c>
      <c r="B8" s="125"/>
      <c r="C8" s="125"/>
      <c r="D8" s="126"/>
      <c r="E8" s="126"/>
      <c r="F8" s="126"/>
      <c r="G8" s="125"/>
      <c r="H8" s="126"/>
      <c r="I8" s="125"/>
      <c r="J8" s="152"/>
    </row>
    <row r="9" spans="1:10" s="1" customFormat="1" ht="15.75">
      <c r="A9" s="179" t="s">
        <v>657</v>
      </c>
      <c r="B9" s="125"/>
      <c r="C9" s="125"/>
      <c r="D9" s="126"/>
      <c r="E9" s="126"/>
      <c r="F9" s="126"/>
      <c r="G9" s="125"/>
      <c r="H9" s="126"/>
      <c r="I9" s="125"/>
      <c r="J9" s="152"/>
    </row>
    <row r="10" spans="1:10" s="160" customFormat="1" ht="15.75">
      <c r="A10" s="174" t="s">
        <v>658</v>
      </c>
      <c r="B10" s="155" t="s">
        <v>387</v>
      </c>
      <c r="C10" s="156" t="s">
        <v>659</v>
      </c>
      <c r="D10" s="156" t="s">
        <v>355</v>
      </c>
      <c r="E10" s="157">
        <v>92</v>
      </c>
      <c r="F10" s="158">
        <f>IF(D10="ag-01",0.12,IF(D10="ag-02",0.09,IF(D10="ar-03",12.03,IF(D10="ar-06",15,IF(D10="op-02",4.31,IF(D10="op-01",6.89))))))</f>
        <v>0.12</v>
      </c>
      <c r="G10" s="159">
        <f>E10*F10</f>
        <v>11.04</v>
      </c>
      <c r="J10" s="251"/>
    </row>
    <row r="11" spans="1:10" s="1" customFormat="1" ht="15.75">
      <c r="A11" s="174" t="s">
        <v>557</v>
      </c>
      <c r="B11" s="24"/>
      <c r="C11" s="2" t="s">
        <v>659</v>
      </c>
      <c r="D11" s="2" t="s">
        <v>377</v>
      </c>
      <c r="E11" s="3">
        <v>80</v>
      </c>
      <c r="F11" s="14">
        <f>IF(D11="ag-01",0.12,IF(D11="ag-02",0.09,IF(D11="ar-03",12.03,IF(D11="ar-06",15,IF(D11="op-02",4.31,IF(D11="op-01",6.89))))))</f>
        <v>0.09</v>
      </c>
      <c r="G11" s="271">
        <f>E11*F11</f>
        <v>7.199999999999999</v>
      </c>
      <c r="I11" s="95"/>
      <c r="J11" s="5"/>
    </row>
    <row r="12" spans="1:10" s="1" customFormat="1" ht="15.75">
      <c r="A12" s="174" t="s">
        <v>559</v>
      </c>
      <c r="B12" s="24"/>
      <c r="C12" s="2" t="s">
        <v>357</v>
      </c>
      <c r="D12" s="2" t="s">
        <v>560</v>
      </c>
      <c r="E12" s="3">
        <v>0.431</v>
      </c>
      <c r="F12" s="14">
        <v>12.27</v>
      </c>
      <c r="G12" s="271">
        <f>E12*F12</f>
        <v>5.28837</v>
      </c>
      <c r="I12" s="95"/>
      <c r="J12" s="5"/>
    </row>
    <row r="13" spans="1:10" s="1" customFormat="1" ht="15.75">
      <c r="A13" s="174" t="s">
        <v>562</v>
      </c>
      <c r="B13" s="24"/>
      <c r="C13" s="2" t="s">
        <v>357</v>
      </c>
      <c r="D13" s="2" t="s">
        <v>563</v>
      </c>
      <c r="E13" s="3">
        <v>0.837</v>
      </c>
      <c r="F13" s="268">
        <v>13.18</v>
      </c>
      <c r="G13" s="271">
        <f>E13*F13</f>
        <v>11.031659999999999</v>
      </c>
      <c r="I13" s="95"/>
      <c r="J13" s="5"/>
    </row>
    <row r="14" spans="1:10" s="1" customFormat="1" ht="15.75">
      <c r="A14" s="174" t="s">
        <v>289</v>
      </c>
      <c r="B14" s="24"/>
      <c r="C14" s="2" t="s">
        <v>228</v>
      </c>
      <c r="D14" s="2" t="s">
        <v>290</v>
      </c>
      <c r="E14" s="3">
        <v>1.3</v>
      </c>
      <c r="F14" s="14">
        <f>+C171</f>
        <v>6.89</v>
      </c>
      <c r="H14" s="25">
        <f>E14*F14</f>
        <v>8.957</v>
      </c>
      <c r="I14" s="95"/>
      <c r="J14" s="5"/>
    </row>
    <row r="15" spans="1:10" s="1" customFormat="1" ht="15.75">
      <c r="A15" s="174" t="s">
        <v>227</v>
      </c>
      <c r="B15" s="24"/>
      <c r="C15" s="2" t="s">
        <v>228</v>
      </c>
      <c r="D15" s="2" t="s">
        <v>229</v>
      </c>
      <c r="E15" s="3">
        <v>6.49</v>
      </c>
      <c r="F15" s="14">
        <f>+C172</f>
        <v>4.38</v>
      </c>
      <c r="H15" s="25">
        <f>E15*F15</f>
        <v>28.4262</v>
      </c>
      <c r="I15" s="95"/>
      <c r="J15" s="5"/>
    </row>
    <row r="16" spans="1:10" s="1" customFormat="1" ht="15.75">
      <c r="A16" s="174"/>
      <c r="B16" s="24"/>
      <c r="C16" s="2"/>
      <c r="D16" s="2"/>
      <c r="E16" s="3"/>
      <c r="F16" s="14"/>
      <c r="G16" s="85">
        <f>SUM(G10:G13)</f>
        <v>34.56003</v>
      </c>
      <c r="H16" s="254">
        <f>SUM(H14:H15)</f>
        <v>37.3832</v>
      </c>
      <c r="I16" s="161">
        <f>SUM(G16,H16)</f>
        <v>71.94323</v>
      </c>
      <c r="J16" s="5"/>
    </row>
    <row r="17" spans="1:10" s="1" customFormat="1" ht="15.75">
      <c r="A17" s="173" t="s">
        <v>660</v>
      </c>
      <c r="B17" s="24"/>
      <c r="C17" s="2"/>
      <c r="D17" s="2"/>
      <c r="E17" s="3"/>
      <c r="F17" s="14"/>
      <c r="G17" s="85"/>
      <c r="H17" s="85"/>
      <c r="I17" s="95"/>
      <c r="J17" s="5"/>
    </row>
    <row r="18" spans="1:10" s="1" customFormat="1" ht="15.75">
      <c r="A18" s="174" t="s">
        <v>658</v>
      </c>
      <c r="B18" s="24" t="s">
        <v>389</v>
      </c>
      <c r="C18" s="2" t="s">
        <v>659</v>
      </c>
      <c r="D18" s="2" t="s">
        <v>355</v>
      </c>
      <c r="E18" s="3">
        <v>135</v>
      </c>
      <c r="F18" s="14">
        <f>IF(D18="ag-01",0.12,IF(D18="ag-02",0.09,IF(D18="ar-03",12.03,IF(D18="ar-06",15,IF(D18="op-02",4.31,IF(D18="op-01",6.89))))))</f>
        <v>0.12</v>
      </c>
      <c r="G18" s="25">
        <f>E18*F18</f>
        <v>16.2</v>
      </c>
      <c r="J18" s="5"/>
    </row>
    <row r="19" spans="1:10" s="1" customFormat="1" ht="15.75">
      <c r="A19" s="174" t="s">
        <v>557</v>
      </c>
      <c r="B19" s="24"/>
      <c r="C19" s="2" t="s">
        <v>659</v>
      </c>
      <c r="D19" s="2" t="s">
        <v>377</v>
      </c>
      <c r="E19" s="3">
        <v>79</v>
      </c>
      <c r="F19" s="14">
        <f>IF(D19="ag-01",0.12,IF(D19="ag-02",0.09,IF(D19="ar-03",12.03,IF(D19="ar-06",15,IF(D19="op-02",4.31,IF(D19="op-01",6.89))))))</f>
        <v>0.09</v>
      </c>
      <c r="G19" s="25">
        <f>E19*F19</f>
        <v>7.109999999999999</v>
      </c>
      <c r="I19" s="95"/>
      <c r="J19" s="5"/>
    </row>
    <row r="20" spans="1:10" s="1" customFormat="1" ht="15.75">
      <c r="A20" s="174" t="s">
        <v>559</v>
      </c>
      <c r="B20" s="24"/>
      <c r="C20" s="2" t="s">
        <v>357</v>
      </c>
      <c r="D20" s="2" t="s">
        <v>560</v>
      </c>
      <c r="E20" s="3">
        <v>0.423</v>
      </c>
      <c r="F20" s="14">
        <v>12.27</v>
      </c>
      <c r="G20" s="271">
        <f>E20*F20</f>
        <v>5.1902099999999995</v>
      </c>
      <c r="I20" s="95"/>
      <c r="J20" s="5"/>
    </row>
    <row r="21" spans="1:10" s="1" customFormat="1" ht="15.75">
      <c r="A21" s="174" t="s">
        <v>562</v>
      </c>
      <c r="B21" s="24"/>
      <c r="C21" s="2" t="s">
        <v>357</v>
      </c>
      <c r="D21" s="2" t="s">
        <v>563</v>
      </c>
      <c r="E21" s="3">
        <v>0.821</v>
      </c>
      <c r="F21" s="14">
        <v>13.18</v>
      </c>
      <c r="G21" s="271">
        <f>E21*F21</f>
        <v>10.82078</v>
      </c>
      <c r="I21" s="95"/>
      <c r="J21" s="5"/>
    </row>
    <row r="22" spans="1:10" s="1" customFormat="1" ht="15.75">
      <c r="A22" s="174" t="s">
        <v>289</v>
      </c>
      <c r="B22" s="24"/>
      <c r="C22" s="2" t="s">
        <v>228</v>
      </c>
      <c r="D22" s="2" t="s">
        <v>290</v>
      </c>
      <c r="E22" s="3">
        <v>1.3</v>
      </c>
      <c r="F22" s="14">
        <f>+C171</f>
        <v>6.89</v>
      </c>
      <c r="G22" s="4"/>
      <c r="H22" s="25">
        <f>E22*F22</f>
        <v>8.957</v>
      </c>
      <c r="I22" s="95"/>
      <c r="J22" s="5"/>
    </row>
    <row r="23" spans="1:10" s="1" customFormat="1" ht="15.75">
      <c r="A23" s="174" t="s">
        <v>227</v>
      </c>
      <c r="B23" s="24"/>
      <c r="C23" s="2" t="s">
        <v>228</v>
      </c>
      <c r="D23" s="2" t="s">
        <v>229</v>
      </c>
      <c r="E23" s="3">
        <v>6.49</v>
      </c>
      <c r="F23" s="14">
        <f>+C172</f>
        <v>4.38</v>
      </c>
      <c r="H23" s="25">
        <f>E23*F23</f>
        <v>28.4262</v>
      </c>
      <c r="I23" s="95"/>
      <c r="J23" s="5"/>
    </row>
    <row r="24" spans="1:10" s="1" customFormat="1" ht="15.75">
      <c r="A24" s="174"/>
      <c r="B24" s="24"/>
      <c r="C24" s="2"/>
      <c r="D24" s="2"/>
      <c r="E24" s="3"/>
      <c r="F24" s="14"/>
      <c r="G24" s="254">
        <f>SUM(G18:G21)</f>
        <v>39.320989999999995</v>
      </c>
      <c r="H24" s="254">
        <f>SUM(H22:H23)</f>
        <v>37.3832</v>
      </c>
      <c r="I24" s="95">
        <f>SUM(G24,H24)</f>
        <v>76.70419</v>
      </c>
      <c r="J24" s="5"/>
    </row>
    <row r="25" spans="1:10" s="1" customFormat="1" ht="15.75">
      <c r="A25" s="173" t="s">
        <v>661</v>
      </c>
      <c r="B25" s="24"/>
      <c r="C25" s="2"/>
      <c r="D25" s="2"/>
      <c r="E25" s="3"/>
      <c r="F25" s="14"/>
      <c r="G25" s="85"/>
      <c r="H25" s="85"/>
      <c r="I25" s="95"/>
      <c r="J25" s="5"/>
    </row>
    <row r="26" spans="1:10" s="1" customFormat="1" ht="15.75">
      <c r="A26" s="173" t="s">
        <v>662</v>
      </c>
      <c r="B26" s="24"/>
      <c r="C26" s="2"/>
      <c r="D26" s="2"/>
      <c r="E26" s="3"/>
      <c r="F26" s="14"/>
      <c r="G26" s="85"/>
      <c r="H26" s="85"/>
      <c r="I26" s="95"/>
      <c r="J26" s="5"/>
    </row>
    <row r="27" spans="1:10" s="1" customFormat="1" ht="15.75">
      <c r="A27" s="174" t="s">
        <v>663</v>
      </c>
      <c r="B27" s="24" t="s">
        <v>404</v>
      </c>
      <c r="C27" s="2" t="s">
        <v>659</v>
      </c>
      <c r="D27" s="2" t="s">
        <v>664</v>
      </c>
      <c r="E27" s="3">
        <v>220</v>
      </c>
      <c r="F27" s="14">
        <v>0.09</v>
      </c>
      <c r="G27" s="25">
        <f>E27*F27</f>
        <v>19.8</v>
      </c>
      <c r="J27" s="5"/>
    </row>
    <row r="28" spans="1:10" s="1" customFormat="1" ht="15.75">
      <c r="A28" s="174" t="s">
        <v>559</v>
      </c>
      <c r="B28" s="24"/>
      <c r="C28" s="2" t="s">
        <v>357</v>
      </c>
      <c r="D28" s="2" t="s">
        <v>560</v>
      </c>
      <c r="E28" s="3">
        <v>0.428</v>
      </c>
      <c r="F28" s="14">
        <v>12.27</v>
      </c>
      <c r="G28" s="271">
        <f>E28*F28</f>
        <v>5.25156</v>
      </c>
      <c r="I28" s="95"/>
      <c r="J28" s="5"/>
    </row>
    <row r="29" spans="1:10" s="1" customFormat="1" ht="15.75">
      <c r="A29" s="174" t="s">
        <v>562</v>
      </c>
      <c r="B29" s="24"/>
      <c r="C29" s="2" t="s">
        <v>357</v>
      </c>
      <c r="D29" s="2" t="s">
        <v>563</v>
      </c>
      <c r="E29" s="3">
        <v>0.83</v>
      </c>
      <c r="F29" s="14">
        <v>13.18</v>
      </c>
      <c r="G29" s="271">
        <f>E29*F29</f>
        <v>10.9394</v>
      </c>
      <c r="I29" s="95"/>
      <c r="J29" s="5"/>
    </row>
    <row r="30" spans="1:10" s="1" customFormat="1" ht="15.75">
      <c r="A30" s="174" t="s">
        <v>289</v>
      </c>
      <c r="B30" s="24"/>
      <c r="C30" s="2" t="s">
        <v>228</v>
      </c>
      <c r="D30" s="2" t="s">
        <v>290</v>
      </c>
      <c r="E30" s="3">
        <v>1.3</v>
      </c>
      <c r="F30" s="14">
        <f>+C171</f>
        <v>6.89</v>
      </c>
      <c r="G30" s="4"/>
      <c r="H30" s="25">
        <f>E30*F30</f>
        <v>8.957</v>
      </c>
      <c r="I30" s="95"/>
      <c r="J30" s="5"/>
    </row>
    <row r="31" spans="1:10" s="1" customFormat="1" ht="15.75">
      <c r="A31" s="174" t="s">
        <v>227</v>
      </c>
      <c r="B31" s="24"/>
      <c r="C31" s="2" t="s">
        <v>228</v>
      </c>
      <c r="D31" s="2" t="s">
        <v>229</v>
      </c>
      <c r="E31" s="3">
        <v>6.49</v>
      </c>
      <c r="F31" s="14">
        <f>+C172</f>
        <v>4.38</v>
      </c>
      <c r="H31" s="25">
        <f>E31*F31</f>
        <v>28.4262</v>
      </c>
      <c r="I31" s="95"/>
      <c r="J31" s="5"/>
    </row>
    <row r="32" spans="1:10" s="1" customFormat="1" ht="15.75">
      <c r="A32" s="174"/>
      <c r="B32" s="24"/>
      <c r="C32" s="2"/>
      <c r="D32" s="2"/>
      <c r="E32" s="3"/>
      <c r="F32" s="14"/>
      <c r="G32" s="254">
        <f>SUM(G27:G29)</f>
        <v>35.99096</v>
      </c>
      <c r="H32" s="254">
        <f>SUM(H30:H31)</f>
        <v>37.3832</v>
      </c>
      <c r="I32" s="95">
        <f>SUM(G32,H32)</f>
        <v>73.37416</v>
      </c>
      <c r="J32" s="5"/>
    </row>
    <row r="33" spans="1:10" s="1" customFormat="1" ht="15.75">
      <c r="A33" s="173" t="s">
        <v>665</v>
      </c>
      <c r="B33" s="24"/>
      <c r="C33" s="2"/>
      <c r="D33" s="2"/>
      <c r="E33" s="3"/>
      <c r="F33" s="14"/>
      <c r="G33" s="85"/>
      <c r="H33" s="85"/>
      <c r="I33" s="95"/>
      <c r="J33" s="5"/>
    </row>
    <row r="34" spans="1:10" s="1" customFormat="1" ht="15.75">
      <c r="A34" s="174" t="s">
        <v>663</v>
      </c>
      <c r="B34" s="24" t="s">
        <v>406</v>
      </c>
      <c r="C34" s="2" t="s">
        <v>659</v>
      </c>
      <c r="D34" s="2" t="s">
        <v>664</v>
      </c>
      <c r="E34" s="3">
        <v>154</v>
      </c>
      <c r="F34" s="14">
        <v>0.09</v>
      </c>
      <c r="G34" s="25">
        <f>E34*F34</f>
        <v>13.86</v>
      </c>
      <c r="I34" s="95">
        <f>SUM(G39,H39)</f>
        <v>68.4902</v>
      </c>
      <c r="J34" s="5"/>
    </row>
    <row r="35" spans="1:10" s="1" customFormat="1" ht="15.75">
      <c r="A35" s="174" t="s">
        <v>559</v>
      </c>
      <c r="B35" s="24"/>
      <c r="C35" s="2" t="s">
        <v>357</v>
      </c>
      <c r="D35" s="2" t="s">
        <v>560</v>
      </c>
      <c r="E35" s="3">
        <v>0.6</v>
      </c>
      <c r="F35" s="14">
        <v>12.27</v>
      </c>
      <c r="G35" s="271">
        <f>E35*F35</f>
        <v>7.361999999999999</v>
      </c>
      <c r="I35" s="95"/>
      <c r="J35" s="5"/>
    </row>
    <row r="36" spans="1:10" s="1" customFormat="1" ht="15.75">
      <c r="A36" s="174" t="s">
        <v>562</v>
      </c>
      <c r="B36" s="24"/>
      <c r="C36" s="2" t="s">
        <v>357</v>
      </c>
      <c r="D36" s="2" t="s">
        <v>563</v>
      </c>
      <c r="E36" s="3">
        <v>0.75</v>
      </c>
      <c r="F36" s="14">
        <v>13.18</v>
      </c>
      <c r="G36" s="271">
        <f>E36*F36</f>
        <v>9.885</v>
      </c>
      <c r="I36" s="95"/>
      <c r="J36" s="5"/>
    </row>
    <row r="37" spans="1:10" s="1" customFormat="1" ht="15.75">
      <c r="A37" s="174" t="s">
        <v>289</v>
      </c>
      <c r="B37" s="24"/>
      <c r="C37" s="2" t="s">
        <v>228</v>
      </c>
      <c r="D37" s="2" t="s">
        <v>290</v>
      </c>
      <c r="E37" s="3">
        <v>1.3</v>
      </c>
      <c r="F37" s="14">
        <f>+C171</f>
        <v>6.89</v>
      </c>
      <c r="G37" s="4"/>
      <c r="H37" s="25">
        <f>E37*F37</f>
        <v>8.957</v>
      </c>
      <c r="I37" s="95"/>
      <c r="J37" s="5"/>
    </row>
    <row r="38" spans="1:10" s="1" customFormat="1" ht="15.75">
      <c r="A38" s="174" t="s">
        <v>227</v>
      </c>
      <c r="B38" s="24"/>
      <c r="C38" s="2" t="s">
        <v>228</v>
      </c>
      <c r="D38" s="2" t="s">
        <v>229</v>
      </c>
      <c r="E38" s="3">
        <v>6.49</v>
      </c>
      <c r="F38" s="14">
        <f>+C172</f>
        <v>4.38</v>
      </c>
      <c r="H38" s="25">
        <f>E38*F38</f>
        <v>28.4262</v>
      </c>
      <c r="I38" s="95"/>
      <c r="J38" s="5"/>
    </row>
    <row r="39" spans="1:10" ht="16.5" thickBot="1">
      <c r="A39" s="90"/>
      <c r="B39" s="28"/>
      <c r="C39" s="7"/>
      <c r="D39" s="7"/>
      <c r="E39" s="8"/>
      <c r="F39" s="10"/>
      <c r="G39" s="252">
        <f>SUM(G34:G36)</f>
        <v>31.107</v>
      </c>
      <c r="H39" s="252">
        <f>SUM(H37:H38)</f>
        <v>37.3832</v>
      </c>
      <c r="I39" s="88"/>
      <c r="J39" s="11"/>
    </row>
    <row r="40" spans="1:10" ht="16.5" thickTop="1">
      <c r="A40" s="122">
        <v>7.2</v>
      </c>
      <c r="B40" s="24"/>
      <c r="C40" s="2"/>
      <c r="D40" s="2"/>
      <c r="E40" s="3"/>
      <c r="F40" s="14"/>
      <c r="G40" s="85"/>
      <c r="H40" s="85"/>
      <c r="I40" s="95"/>
      <c r="J40" s="5"/>
    </row>
    <row r="41" spans="1:10" ht="15.75">
      <c r="A41" s="123" t="s">
        <v>666</v>
      </c>
      <c r="B41" s="24"/>
      <c r="C41" s="2"/>
      <c r="D41" s="2"/>
      <c r="E41" s="3"/>
      <c r="F41" s="14"/>
      <c r="G41" s="85"/>
      <c r="H41" s="85"/>
      <c r="I41" s="95"/>
      <c r="J41" s="5"/>
    </row>
    <row r="42" spans="1:10" ht="15.75">
      <c r="A42" s="123" t="s">
        <v>667</v>
      </c>
      <c r="B42" s="24"/>
      <c r="C42" s="2"/>
      <c r="D42" s="2"/>
      <c r="E42" s="3"/>
      <c r="F42" s="14"/>
      <c r="G42" s="85"/>
      <c r="H42" s="85"/>
      <c r="I42" s="95"/>
      <c r="J42" s="5"/>
    </row>
    <row r="43" spans="1:10" ht="15.75">
      <c r="A43" s="173" t="s">
        <v>668</v>
      </c>
      <c r="B43" s="24"/>
      <c r="C43" s="2"/>
      <c r="D43" s="2"/>
      <c r="E43" s="3"/>
      <c r="F43" s="14"/>
      <c r="G43" s="85"/>
      <c r="H43" s="85"/>
      <c r="I43" s="95"/>
      <c r="J43" s="5"/>
    </row>
    <row r="44" spans="1:10" ht="15.75">
      <c r="A44" s="173" t="s">
        <v>669</v>
      </c>
      <c r="B44" s="24"/>
      <c r="C44" s="2"/>
      <c r="D44" s="2"/>
      <c r="E44" s="3"/>
      <c r="F44" s="14"/>
      <c r="G44" s="85"/>
      <c r="H44" s="85"/>
      <c r="I44" s="95"/>
      <c r="J44" s="5"/>
    </row>
    <row r="45" spans="1:10" s="1" customFormat="1" ht="15.75">
      <c r="A45" s="173" t="s">
        <v>670</v>
      </c>
      <c r="B45" s="24"/>
      <c r="C45" s="2" t="s">
        <v>659</v>
      </c>
      <c r="D45" s="2" t="s">
        <v>355</v>
      </c>
      <c r="E45" s="3">
        <v>340</v>
      </c>
      <c r="F45" s="14">
        <f>IF(D45="ag-01",0.12,IF(D45="ag-02",0.09,IF(D45="ar-02",18.43,IF(D45="ar-05",28.79,IF(D45="op-02",4.31,IF(D45="op-01",6.89))))))</f>
        <v>0.12</v>
      </c>
      <c r="G45" s="25">
        <f>E45*F45</f>
        <v>40.8</v>
      </c>
      <c r="I45" s="95">
        <f>SUM(G45:G47,H48:H49)</f>
        <v>113.95952</v>
      </c>
      <c r="J45" s="5"/>
    </row>
    <row r="46" spans="1:10" ht="15.75">
      <c r="A46" s="174" t="s">
        <v>671</v>
      </c>
      <c r="B46" s="24"/>
      <c r="C46" s="2" t="s">
        <v>357</v>
      </c>
      <c r="D46" s="2" t="s">
        <v>672</v>
      </c>
      <c r="E46" s="3">
        <v>0.572</v>
      </c>
      <c r="F46" s="268">
        <v>18.8</v>
      </c>
      <c r="G46" s="271">
        <f>E46*F46</f>
        <v>10.753599999999999</v>
      </c>
      <c r="H46" s="1"/>
      <c r="I46" s="95"/>
      <c r="J46" s="5"/>
    </row>
    <row r="47" spans="1:10" ht="15.75">
      <c r="A47" s="101" t="s">
        <v>673</v>
      </c>
      <c r="B47" s="24"/>
      <c r="C47" s="2" t="s">
        <v>357</v>
      </c>
      <c r="D47" s="2" t="s">
        <v>674</v>
      </c>
      <c r="E47" s="3">
        <v>0.858</v>
      </c>
      <c r="F47" s="14">
        <f>IF(D47="ag-01",0.12,IF(D47="ag-02",0.09,IF(D47="ar-02",18.43,IF(D47="ar-05",28.79,IF(D47="op-02",4.31,IF(D47="op-01",6.89))))))</f>
        <v>28.79</v>
      </c>
      <c r="G47" s="271">
        <f>E47*F47</f>
        <v>24.701819999999998</v>
      </c>
      <c r="H47" s="1"/>
      <c r="I47" s="95"/>
      <c r="J47" s="5"/>
    </row>
    <row r="48" spans="1:10" ht="15.75">
      <c r="A48" s="101" t="s">
        <v>289</v>
      </c>
      <c r="B48" s="24"/>
      <c r="C48" s="2" t="s">
        <v>228</v>
      </c>
      <c r="D48" s="2" t="s">
        <v>290</v>
      </c>
      <c r="E48" s="3">
        <v>1.55</v>
      </c>
      <c r="F48" s="14">
        <f>+C171</f>
        <v>6.89</v>
      </c>
      <c r="G48" s="1"/>
      <c r="H48" s="25">
        <f>E48*F48</f>
        <v>10.679499999999999</v>
      </c>
      <c r="I48" s="95"/>
      <c r="J48" s="5"/>
    </row>
    <row r="49" spans="1:10" ht="15.75">
      <c r="A49" s="101" t="s">
        <v>227</v>
      </c>
      <c r="B49" s="24"/>
      <c r="C49" s="2" t="s">
        <v>228</v>
      </c>
      <c r="D49" s="2" t="s">
        <v>229</v>
      </c>
      <c r="E49" s="3">
        <v>6.17</v>
      </c>
      <c r="F49" s="14">
        <f>+C172</f>
        <v>4.38</v>
      </c>
      <c r="G49" s="1"/>
      <c r="H49" s="25">
        <f>E49*F49</f>
        <v>27.0246</v>
      </c>
      <c r="I49" s="95"/>
      <c r="J49" s="51"/>
    </row>
    <row r="50" spans="1:10" s="108" customFormat="1" ht="16.5" thickBot="1">
      <c r="A50" s="90"/>
      <c r="B50" s="28"/>
      <c r="C50" s="7"/>
      <c r="D50" s="7"/>
      <c r="E50" s="8"/>
      <c r="F50" s="10"/>
      <c r="G50" s="252">
        <f>SUM(G45:G47)</f>
        <v>76.25541999999999</v>
      </c>
      <c r="H50" s="252">
        <f>SUM(H48:H49)</f>
        <v>37.7041</v>
      </c>
      <c r="I50" s="96"/>
      <c r="J50" s="11"/>
    </row>
    <row r="51" spans="1:10" ht="16.5" thickTop="1">
      <c r="A51" s="122">
        <v>7.3</v>
      </c>
      <c r="B51" s="24"/>
      <c r="C51" s="2"/>
      <c r="D51" s="2"/>
      <c r="E51" s="3"/>
      <c r="F51" s="14"/>
      <c r="G51" s="85"/>
      <c r="H51" s="85"/>
      <c r="I51" s="95"/>
      <c r="J51" s="5"/>
    </row>
    <row r="52" spans="1:10" ht="15.75">
      <c r="A52" s="123" t="s">
        <v>675</v>
      </c>
      <c r="B52" s="24"/>
      <c r="C52" s="2"/>
      <c r="D52" s="2"/>
      <c r="E52" s="3"/>
      <c r="F52" s="14"/>
      <c r="G52" s="85"/>
      <c r="H52" s="85"/>
      <c r="I52" s="95"/>
      <c r="J52" s="5"/>
    </row>
    <row r="53" spans="1:10" ht="15.75">
      <c r="A53" s="123" t="s">
        <v>676</v>
      </c>
      <c r="B53" s="24"/>
      <c r="C53" s="2"/>
      <c r="D53" s="2"/>
      <c r="E53" s="3"/>
      <c r="F53" s="14"/>
      <c r="G53" s="85"/>
      <c r="H53" s="85"/>
      <c r="I53" s="95"/>
      <c r="J53" s="5"/>
    </row>
    <row r="54" spans="1:10" ht="15.75">
      <c r="A54" s="123" t="s">
        <v>677</v>
      </c>
      <c r="B54" s="24"/>
      <c r="C54" s="2"/>
      <c r="D54" s="2"/>
      <c r="E54" s="3"/>
      <c r="F54" s="14"/>
      <c r="G54" s="85"/>
      <c r="H54" s="85"/>
      <c r="I54" s="95"/>
      <c r="J54" s="5"/>
    </row>
    <row r="55" spans="1:10" ht="15.75">
      <c r="A55" s="172" t="s">
        <v>678</v>
      </c>
      <c r="B55" s="24"/>
      <c r="C55" s="2" t="s">
        <v>659</v>
      </c>
      <c r="D55" s="2" t="s">
        <v>355</v>
      </c>
      <c r="E55" s="3">
        <v>340</v>
      </c>
      <c r="F55" s="14">
        <f>IF(D55="ag-01",0.12,IF(D55="ac-01",1.06,IF(D55="ar-02",18.43,IF(D55="ar-05",28.79,IF(D55="op-02",4.31,IF(D55="op-01",6.89))))))</f>
        <v>0.12</v>
      </c>
      <c r="G55" s="25">
        <f>E55*F55</f>
        <v>40.8</v>
      </c>
      <c r="H55" s="1"/>
      <c r="I55" s="95">
        <f>SUM(G55:G58,H59:H60)</f>
        <v>135.56851999999998</v>
      </c>
      <c r="J55" s="5"/>
    </row>
    <row r="56" spans="1:10" ht="15.75">
      <c r="A56" s="101" t="s">
        <v>671</v>
      </c>
      <c r="B56" s="24"/>
      <c r="C56" s="2" t="s">
        <v>357</v>
      </c>
      <c r="D56" s="2" t="s">
        <v>672</v>
      </c>
      <c r="E56" s="3">
        <v>0.572</v>
      </c>
      <c r="F56" s="14">
        <v>18.8</v>
      </c>
      <c r="G56" s="271">
        <f>E56*F56</f>
        <v>10.753599999999999</v>
      </c>
      <c r="H56" s="1"/>
      <c r="I56" s="95"/>
      <c r="J56" s="5"/>
    </row>
    <row r="57" spans="1:10" ht="15.75">
      <c r="A57" s="101" t="s">
        <v>673</v>
      </c>
      <c r="B57" s="24"/>
      <c r="C57" s="2" t="s">
        <v>357</v>
      </c>
      <c r="D57" s="2" t="s">
        <v>674</v>
      </c>
      <c r="E57" s="3">
        <v>0.858</v>
      </c>
      <c r="F57" s="14">
        <f>IF(D57="ag-01",0.12,IF(D57="ac-01",1.06,IF(D57="ar-02",18.43,IF(D57="ar-05",28.79,IF(D57="op-02",4.31,IF(D57="op-01",6.89))))))</f>
        <v>28.79</v>
      </c>
      <c r="G57" s="271">
        <f>E57*F57</f>
        <v>24.701819999999998</v>
      </c>
      <c r="H57" s="1"/>
      <c r="I57" s="95"/>
      <c r="J57" s="5"/>
    </row>
    <row r="58" spans="1:10" ht="15.75">
      <c r="A58" s="101" t="s">
        <v>679</v>
      </c>
      <c r="B58" s="24"/>
      <c r="C58" s="2" t="s">
        <v>659</v>
      </c>
      <c r="D58" s="2" t="s">
        <v>680</v>
      </c>
      <c r="E58" s="3">
        <v>13</v>
      </c>
      <c r="F58" s="14">
        <v>1.14</v>
      </c>
      <c r="G58" s="25">
        <f>E58*F58</f>
        <v>14.819999999999999</v>
      </c>
      <c r="H58" s="1"/>
      <c r="I58" s="95"/>
      <c r="J58" s="5"/>
    </row>
    <row r="59" spans="1:10" ht="15.75">
      <c r="A59" s="101" t="s">
        <v>289</v>
      </c>
      <c r="B59" s="24"/>
      <c r="C59" s="2" t="s">
        <v>228</v>
      </c>
      <c r="D59" s="2" t="s">
        <v>290</v>
      </c>
      <c r="E59" s="3">
        <v>1.55</v>
      </c>
      <c r="F59" s="14">
        <f>+C171</f>
        <v>6.89</v>
      </c>
      <c r="G59" s="1"/>
      <c r="H59" s="25">
        <f>E59*F59</f>
        <v>10.679499999999999</v>
      </c>
      <c r="I59" s="95"/>
      <c r="J59" s="5"/>
    </row>
    <row r="60" spans="1:10" ht="15.75">
      <c r="A60" s="101" t="s">
        <v>227</v>
      </c>
      <c r="B60" s="24"/>
      <c r="C60" s="2" t="s">
        <v>228</v>
      </c>
      <c r="D60" s="2" t="s">
        <v>229</v>
      </c>
      <c r="E60" s="3">
        <v>7.72</v>
      </c>
      <c r="F60" s="14">
        <f>+C172</f>
        <v>4.38</v>
      </c>
      <c r="G60" s="1"/>
      <c r="H60" s="25">
        <f>E60*F60</f>
        <v>33.8136</v>
      </c>
      <c r="I60" s="95"/>
      <c r="J60" s="5"/>
    </row>
    <row r="61" spans="1:10" ht="16.5" thickBot="1">
      <c r="A61" s="90"/>
      <c r="B61" s="28"/>
      <c r="C61" s="7"/>
      <c r="D61" s="7"/>
      <c r="E61" s="8"/>
      <c r="F61" s="10"/>
      <c r="G61" s="252">
        <f>SUM(G55:G58)</f>
        <v>91.07541999999998</v>
      </c>
      <c r="H61" s="252">
        <f>SUM(H59:H60)</f>
        <v>44.4931</v>
      </c>
      <c r="I61" s="96"/>
      <c r="J61" s="11"/>
    </row>
    <row r="62" spans="1:10" ht="16.5" thickTop="1">
      <c r="A62" s="122">
        <v>7.4</v>
      </c>
      <c r="B62" s="24"/>
      <c r="C62" s="2"/>
      <c r="D62" s="2"/>
      <c r="E62" s="3"/>
      <c r="F62" s="14"/>
      <c r="G62" s="85"/>
      <c r="H62" s="85"/>
      <c r="I62" s="95"/>
      <c r="J62" s="5"/>
    </row>
    <row r="63" spans="1:10" ht="15.75">
      <c r="A63" s="123" t="s">
        <v>681</v>
      </c>
      <c r="B63" s="24"/>
      <c r="C63" s="2"/>
      <c r="D63" s="2"/>
      <c r="E63" s="3"/>
      <c r="F63" s="14"/>
      <c r="G63" s="85"/>
      <c r="H63" s="85"/>
      <c r="I63" s="95"/>
      <c r="J63" s="5"/>
    </row>
    <row r="64" spans="1:10" ht="15.75">
      <c r="A64" s="123" t="s">
        <v>682</v>
      </c>
      <c r="B64" s="24"/>
      <c r="C64" s="2"/>
      <c r="D64" s="2"/>
      <c r="E64" s="3"/>
      <c r="F64" s="14"/>
      <c r="G64" s="85"/>
      <c r="H64" s="85"/>
      <c r="I64" s="95"/>
      <c r="J64" s="5"/>
    </row>
    <row r="65" spans="1:10" ht="15.75">
      <c r="A65" s="123" t="s">
        <v>683</v>
      </c>
      <c r="B65" s="24"/>
      <c r="C65" s="2"/>
      <c r="D65" s="2"/>
      <c r="E65" s="3"/>
      <c r="F65" s="14"/>
      <c r="G65" s="85"/>
      <c r="H65" s="85"/>
      <c r="I65" s="95"/>
      <c r="J65" s="5"/>
    </row>
    <row r="66" spans="1:10" ht="15.75">
      <c r="A66" s="123" t="s">
        <v>684</v>
      </c>
      <c r="B66" s="24"/>
      <c r="C66" s="2"/>
      <c r="D66" s="2"/>
      <c r="E66" s="3"/>
      <c r="F66" s="14"/>
      <c r="G66" s="85"/>
      <c r="H66" s="85"/>
      <c r="I66" s="95"/>
      <c r="J66" s="5"/>
    </row>
    <row r="67" spans="1:10" ht="15.75">
      <c r="A67" s="123" t="s">
        <v>685</v>
      </c>
      <c r="B67" s="24"/>
      <c r="C67" s="2"/>
      <c r="D67" s="2"/>
      <c r="E67" s="3"/>
      <c r="F67" s="14"/>
      <c r="G67" s="85"/>
      <c r="H67" s="85"/>
      <c r="I67" s="95"/>
      <c r="J67" s="5"/>
    </row>
    <row r="68" spans="1:10" ht="15.75">
      <c r="A68" s="174" t="s">
        <v>658</v>
      </c>
      <c r="B68" s="24"/>
      <c r="C68" s="2" t="s">
        <v>659</v>
      </c>
      <c r="D68" s="2" t="s">
        <v>355</v>
      </c>
      <c r="E68" s="3">
        <v>46</v>
      </c>
      <c r="F68" s="14">
        <f>IF(D68="ag-01",0.12,IF(D68="ag-02",0.09,IF(D68="ar-01",23.37,IF(D68="ar-07",10,IF(D68="op-02",4.31,IF(D68="op-01",6.89))))))</f>
        <v>0.12</v>
      </c>
      <c r="G68" s="25">
        <f>E68*F68</f>
        <v>5.52</v>
      </c>
      <c r="H68" s="1"/>
      <c r="I68" s="95">
        <f>SUM(G68:G71,H72:H73)</f>
        <v>71.8299</v>
      </c>
      <c r="J68" s="5"/>
    </row>
    <row r="69" spans="1:10" ht="15.75">
      <c r="A69" s="101" t="s">
        <v>557</v>
      </c>
      <c r="B69" s="24"/>
      <c r="C69" s="2" t="s">
        <v>659</v>
      </c>
      <c r="D69" s="2" t="s">
        <v>377</v>
      </c>
      <c r="E69" s="3">
        <v>70</v>
      </c>
      <c r="F69" s="14">
        <f>IF(D69="ag-01",0.12,IF(D69="ag-02",0.09,IF(D69="ar-01",23.37,IF(D69="ar-07",10,IF(D69="op-02",4.31,IF(D69="op-01",6.89))))))</f>
        <v>0.09</v>
      </c>
      <c r="G69" s="271">
        <f>E69*F69</f>
        <v>6.3</v>
      </c>
      <c r="H69" s="1"/>
      <c r="I69" s="95"/>
      <c r="J69" s="5"/>
    </row>
    <row r="70" spans="1:10" ht="15.75">
      <c r="A70" s="101" t="s">
        <v>686</v>
      </c>
      <c r="B70" s="24"/>
      <c r="C70" s="2" t="s">
        <v>357</v>
      </c>
      <c r="D70" s="2" t="s">
        <v>687</v>
      </c>
      <c r="E70" s="3">
        <v>0.52</v>
      </c>
      <c r="F70" s="14">
        <v>23.84</v>
      </c>
      <c r="G70" s="271">
        <f>E70*F70</f>
        <v>12.3968</v>
      </c>
      <c r="H70" s="1"/>
      <c r="I70" s="95"/>
      <c r="J70" s="5"/>
    </row>
    <row r="71" spans="1:10" ht="15.75">
      <c r="A71" s="101" t="s">
        <v>688</v>
      </c>
      <c r="B71" s="24"/>
      <c r="C71" s="2" t="s">
        <v>357</v>
      </c>
      <c r="D71" s="2" t="s">
        <v>689</v>
      </c>
      <c r="E71" s="3">
        <v>0.8</v>
      </c>
      <c r="F71" s="268">
        <f>IF(D71="ag-01",0.12,IF(D71="ag-02",0.09,IF(D71="ar-01",23.37,IF(D71="ar-07",10,IF(D71="op-02",4.31,IF(D71="op-01",6.89))))))</f>
        <v>10</v>
      </c>
      <c r="G71" s="271">
        <f>E71*F71</f>
        <v>8</v>
      </c>
      <c r="H71" s="1"/>
      <c r="I71" s="95"/>
      <c r="J71" s="5"/>
    </row>
    <row r="72" spans="1:10" ht="15.75">
      <c r="A72" s="101" t="s">
        <v>289</v>
      </c>
      <c r="B72" s="24"/>
      <c r="C72" s="2" t="s">
        <v>228</v>
      </c>
      <c r="D72" s="2" t="s">
        <v>290</v>
      </c>
      <c r="E72" s="3">
        <v>1.63</v>
      </c>
      <c r="F72" s="14">
        <f>+C171</f>
        <v>6.89</v>
      </c>
      <c r="G72" s="1"/>
      <c r="H72" s="25">
        <f>E72*F72</f>
        <v>11.230699999999999</v>
      </c>
      <c r="I72" s="95"/>
      <c r="J72" s="5"/>
    </row>
    <row r="73" spans="1:10" ht="15.75">
      <c r="A73" s="101" t="s">
        <v>227</v>
      </c>
      <c r="B73" s="24"/>
      <c r="C73" s="2" t="s">
        <v>228</v>
      </c>
      <c r="D73" s="2" t="s">
        <v>229</v>
      </c>
      <c r="E73" s="3">
        <v>6.48</v>
      </c>
      <c r="F73" s="14">
        <f>+C172</f>
        <v>4.38</v>
      </c>
      <c r="G73" s="1"/>
      <c r="H73" s="25">
        <f>E73*F73</f>
        <v>28.3824</v>
      </c>
      <c r="I73" s="95"/>
      <c r="J73" s="5"/>
    </row>
    <row r="74" spans="1:10" ht="16.5" thickBot="1">
      <c r="A74" s="90"/>
      <c r="B74" s="72"/>
      <c r="C74" s="7"/>
      <c r="D74" s="7"/>
      <c r="E74" s="8"/>
      <c r="F74" s="73"/>
      <c r="G74" s="252">
        <f>SUM(G68:G71)</f>
        <v>32.2168</v>
      </c>
      <c r="H74" s="67">
        <f>SUM(H72:H73)</f>
        <v>39.6131</v>
      </c>
      <c r="I74" s="88"/>
      <c r="J74" s="11"/>
    </row>
    <row r="75" spans="1:10" ht="16.5" thickTop="1">
      <c r="A75" s="122">
        <v>7.5</v>
      </c>
      <c r="B75" s="24"/>
      <c r="C75" s="2"/>
      <c r="D75" s="2"/>
      <c r="E75" s="3"/>
      <c r="F75" s="14"/>
      <c r="G75" s="85"/>
      <c r="H75" s="85"/>
      <c r="I75" s="95"/>
      <c r="J75" s="5"/>
    </row>
    <row r="76" spans="1:10" ht="15.75">
      <c r="A76" s="123" t="s">
        <v>690</v>
      </c>
      <c r="B76" s="24"/>
      <c r="C76" s="2"/>
      <c r="D76" s="2"/>
      <c r="E76" s="3"/>
      <c r="F76" s="14"/>
      <c r="G76" s="85"/>
      <c r="H76" s="85"/>
      <c r="I76" s="95"/>
      <c r="J76" s="5"/>
    </row>
    <row r="77" spans="1:10" ht="15.75">
      <c r="A77" s="123" t="s">
        <v>691</v>
      </c>
      <c r="B77" s="24"/>
      <c r="C77" s="2"/>
      <c r="D77" s="2"/>
      <c r="E77" s="3"/>
      <c r="F77" s="14"/>
      <c r="G77" s="85"/>
      <c r="H77" s="85"/>
      <c r="I77" s="95"/>
      <c r="J77" s="5"/>
    </row>
    <row r="78" spans="1:10" ht="15.75">
      <c r="A78" s="174" t="s">
        <v>658</v>
      </c>
      <c r="B78" s="24" t="s">
        <v>387</v>
      </c>
      <c r="C78" s="2" t="s">
        <v>659</v>
      </c>
      <c r="D78" s="2" t="s">
        <v>355</v>
      </c>
      <c r="E78" s="3">
        <v>36</v>
      </c>
      <c r="F78" s="14">
        <f aca="true" t="shared" si="0" ref="F78:F86">IF(D78="ag-01",0.12,IF(D78="ag-02",0.09,IF(D78="ar-03",12.03,IF(D78="ld-01",0.12,IF(D78="op-02",4.31,IF(D78="op-01",6.89))))))</f>
        <v>0.12</v>
      </c>
      <c r="G78" s="25">
        <f>E78*F78</f>
        <v>4.32</v>
      </c>
      <c r="H78" s="1"/>
      <c r="I78" s="95">
        <f>SUM(G84,H84)</f>
        <v>112.63719999999998</v>
      </c>
      <c r="J78" s="5"/>
    </row>
    <row r="79" spans="1:10" ht="15.75">
      <c r="A79" s="101" t="s">
        <v>557</v>
      </c>
      <c r="B79" s="24"/>
      <c r="C79" s="2" t="s">
        <v>659</v>
      </c>
      <c r="D79" s="2" t="s">
        <v>377</v>
      </c>
      <c r="E79" s="3">
        <v>82</v>
      </c>
      <c r="F79" s="14">
        <f t="shared" si="0"/>
        <v>0.09</v>
      </c>
      <c r="G79" s="25">
        <f>E79*F79</f>
        <v>7.38</v>
      </c>
      <c r="H79" s="1"/>
      <c r="I79" s="95"/>
      <c r="J79" s="5"/>
    </row>
    <row r="80" spans="1:10" ht="15.75">
      <c r="A80" s="101" t="s">
        <v>559</v>
      </c>
      <c r="B80" s="24"/>
      <c r="C80" s="2" t="s">
        <v>357</v>
      </c>
      <c r="D80" s="2" t="s">
        <v>560</v>
      </c>
      <c r="E80" s="3">
        <v>0.36</v>
      </c>
      <c r="F80" s="14">
        <v>12.27</v>
      </c>
      <c r="G80" s="271">
        <f>E80*F80</f>
        <v>4.417199999999999</v>
      </c>
      <c r="H80" s="1"/>
      <c r="I80" s="95"/>
      <c r="J80" s="5"/>
    </row>
    <row r="81" spans="1:10" ht="15.75">
      <c r="A81" s="101" t="s">
        <v>692</v>
      </c>
      <c r="B81" s="24"/>
      <c r="C81" s="2" t="s">
        <v>574</v>
      </c>
      <c r="D81" s="2" t="s">
        <v>626</v>
      </c>
      <c r="E81" s="3">
        <v>370</v>
      </c>
      <c r="F81" s="14">
        <f t="shared" si="0"/>
        <v>0.12</v>
      </c>
      <c r="G81" s="271">
        <f>E81*F81</f>
        <v>44.4</v>
      </c>
      <c r="H81" s="1"/>
      <c r="I81" s="95"/>
      <c r="J81" s="5"/>
    </row>
    <row r="82" spans="1:10" ht="15.75">
      <c r="A82" s="101" t="s">
        <v>289</v>
      </c>
      <c r="B82" s="24"/>
      <c r="C82" s="2" t="s">
        <v>228</v>
      </c>
      <c r="D82" s="2" t="s">
        <v>290</v>
      </c>
      <c r="E82" s="3">
        <v>4.1</v>
      </c>
      <c r="F82" s="14">
        <f>+C171</f>
        <v>6.89</v>
      </c>
      <c r="G82" s="1"/>
      <c r="H82" s="25">
        <f>E82*F82</f>
        <v>28.248999999999995</v>
      </c>
      <c r="I82" s="95"/>
      <c r="J82" s="5"/>
    </row>
    <row r="83" spans="1:10" ht="15.75">
      <c r="A83" s="101" t="s">
        <v>227</v>
      </c>
      <c r="B83" s="24"/>
      <c r="C83" s="2" t="s">
        <v>228</v>
      </c>
      <c r="D83" s="2" t="s">
        <v>229</v>
      </c>
      <c r="E83" s="3">
        <v>5.45</v>
      </c>
      <c r="F83" s="14">
        <f>+C172</f>
        <v>4.38</v>
      </c>
      <c r="G83" s="1"/>
      <c r="H83" s="25">
        <f>E83*F83</f>
        <v>23.871</v>
      </c>
      <c r="I83" s="95"/>
      <c r="J83" s="5"/>
    </row>
    <row r="84" spans="1:10" ht="15.75">
      <c r="A84" s="101"/>
      <c r="B84" s="24"/>
      <c r="C84" s="2"/>
      <c r="D84" s="2"/>
      <c r="E84" s="3"/>
      <c r="F84" s="14"/>
      <c r="G84" s="254">
        <f>SUM(G78:G81)</f>
        <v>60.517199999999995</v>
      </c>
      <c r="H84" s="254">
        <f>SUM(H82:H83)</f>
        <v>52.11999999999999</v>
      </c>
      <c r="I84" s="95"/>
      <c r="J84" s="5"/>
    </row>
    <row r="85" spans="1:10" ht="15.75">
      <c r="A85" s="173" t="s">
        <v>693</v>
      </c>
      <c r="B85" s="24"/>
      <c r="C85" s="2"/>
      <c r="D85" s="2"/>
      <c r="E85" s="3"/>
      <c r="F85" s="14"/>
      <c r="G85" s="85"/>
      <c r="H85" s="85"/>
      <c r="I85" s="95"/>
      <c r="J85" s="5"/>
    </row>
    <row r="86" spans="1:10" ht="15.75">
      <c r="A86" s="172" t="s">
        <v>694</v>
      </c>
      <c r="B86" s="24" t="s">
        <v>389</v>
      </c>
      <c r="C86" s="2" t="s">
        <v>659</v>
      </c>
      <c r="D86" s="2" t="s">
        <v>355</v>
      </c>
      <c r="E86" s="3">
        <v>12</v>
      </c>
      <c r="F86" s="14">
        <f t="shared" si="0"/>
        <v>0.12</v>
      </c>
      <c r="G86" s="25">
        <f>E86*F86</f>
        <v>1.44</v>
      </c>
      <c r="H86" s="1"/>
      <c r="I86" s="95">
        <f>SUM(G92,H92)</f>
        <v>110.1826</v>
      </c>
      <c r="J86" s="5"/>
    </row>
    <row r="87" spans="1:10" ht="15.75">
      <c r="A87" s="174" t="s">
        <v>695</v>
      </c>
      <c r="B87" s="24"/>
      <c r="C87" s="2" t="s">
        <v>659</v>
      </c>
      <c r="D87" s="2" t="s">
        <v>664</v>
      </c>
      <c r="E87" s="3">
        <v>84</v>
      </c>
      <c r="F87" s="14">
        <v>0.09</v>
      </c>
      <c r="G87" s="25">
        <f>E87*F87</f>
        <v>7.56</v>
      </c>
      <c r="H87" s="1"/>
      <c r="I87" s="95"/>
      <c r="J87" s="5"/>
    </row>
    <row r="88" spans="1:10" ht="15.75">
      <c r="A88" s="174" t="s">
        <v>559</v>
      </c>
      <c r="B88" s="24"/>
      <c r="C88" s="2" t="s">
        <v>357</v>
      </c>
      <c r="D88" s="2" t="s">
        <v>560</v>
      </c>
      <c r="E88" s="3">
        <v>0.38</v>
      </c>
      <c r="F88" s="14">
        <v>12.27</v>
      </c>
      <c r="G88" s="271">
        <f>E88*F88</f>
        <v>4.6626</v>
      </c>
      <c r="H88" s="1"/>
      <c r="I88" s="95"/>
      <c r="J88" s="5"/>
    </row>
    <row r="89" spans="1:10" ht="15.75">
      <c r="A89" s="174" t="s">
        <v>692</v>
      </c>
      <c r="B89" s="24"/>
      <c r="C89" s="2" t="s">
        <v>574</v>
      </c>
      <c r="D89" s="2" t="s">
        <v>626</v>
      </c>
      <c r="E89" s="3">
        <v>370</v>
      </c>
      <c r="F89" s="14">
        <f>IF(D89="ag-01",0.12,IF(D89="ag-02",0.09,IF(D89="ar-03",12.03,IF(D89="ld-01",0.12,IF(D89="op-02",4.31,IF(D89="op-01",6.89))))))</f>
        <v>0.12</v>
      </c>
      <c r="G89" s="271">
        <f>E89*F89</f>
        <v>44.4</v>
      </c>
      <c r="H89" s="1"/>
      <c r="I89" s="95"/>
      <c r="J89" s="5"/>
    </row>
    <row r="90" spans="1:10" ht="15.75">
      <c r="A90" s="174" t="s">
        <v>289</v>
      </c>
      <c r="B90" s="24"/>
      <c r="C90" s="2" t="s">
        <v>228</v>
      </c>
      <c r="D90" s="2" t="s">
        <v>290</v>
      </c>
      <c r="E90" s="3">
        <v>4.1</v>
      </c>
      <c r="F90" s="14">
        <f>+C171</f>
        <v>6.89</v>
      </c>
      <c r="G90" s="1"/>
      <c r="H90" s="25">
        <f>E90*F90</f>
        <v>28.248999999999995</v>
      </c>
      <c r="I90" s="95"/>
      <c r="J90" s="5"/>
    </row>
    <row r="91" spans="1:10" ht="15.75">
      <c r="A91" s="174" t="s">
        <v>227</v>
      </c>
      <c r="B91" s="24"/>
      <c r="C91" s="2" t="s">
        <v>228</v>
      </c>
      <c r="D91" s="2" t="s">
        <v>229</v>
      </c>
      <c r="E91" s="3">
        <v>5.45</v>
      </c>
      <c r="F91" s="14">
        <f>+C172</f>
        <v>4.38</v>
      </c>
      <c r="G91" s="1"/>
      <c r="H91" s="25">
        <f>E91*F91</f>
        <v>23.871</v>
      </c>
      <c r="I91" s="95"/>
      <c r="J91" s="5"/>
    </row>
    <row r="92" spans="1:10" ht="16.5" thickBot="1">
      <c r="A92" s="90"/>
      <c r="B92" s="24"/>
      <c r="C92" s="2"/>
      <c r="D92" s="2"/>
      <c r="E92" s="3"/>
      <c r="F92" s="14"/>
      <c r="G92" s="254">
        <f>SUM(G86:G89)</f>
        <v>58.0626</v>
      </c>
      <c r="H92" s="254">
        <f>SUM(H90:H91)</f>
        <v>52.11999999999999</v>
      </c>
      <c r="I92" s="95"/>
      <c r="J92" s="5"/>
    </row>
    <row r="93" spans="1:10" ht="16.5" thickTop="1">
      <c r="A93" s="122">
        <v>7.6</v>
      </c>
      <c r="B93" s="24"/>
      <c r="C93" s="2"/>
      <c r="D93" s="2"/>
      <c r="E93" s="3"/>
      <c r="F93" s="14"/>
      <c r="G93" s="85"/>
      <c r="H93" s="85"/>
      <c r="I93" s="95"/>
      <c r="J93" s="5"/>
    </row>
    <row r="94" spans="1:10" ht="15.75">
      <c r="A94" s="123" t="s">
        <v>696</v>
      </c>
      <c r="B94" s="24"/>
      <c r="C94" s="2"/>
      <c r="D94" s="2"/>
      <c r="E94" s="3"/>
      <c r="F94" s="14"/>
      <c r="G94" s="85"/>
      <c r="H94" s="85"/>
      <c r="I94" s="95"/>
      <c r="J94" s="5"/>
    </row>
    <row r="95" spans="1:10" ht="15.75">
      <c r="A95" s="123" t="s">
        <v>697</v>
      </c>
      <c r="B95" s="24"/>
      <c r="C95" s="2"/>
      <c r="D95" s="2"/>
      <c r="E95" s="3"/>
      <c r="F95" s="14"/>
      <c r="G95" s="85"/>
      <c r="H95" s="85"/>
      <c r="I95" s="95"/>
      <c r="J95" s="5"/>
    </row>
    <row r="96" spans="1:10" ht="15.75">
      <c r="A96" s="173" t="s">
        <v>698</v>
      </c>
      <c r="B96" s="24"/>
      <c r="C96" s="2"/>
      <c r="D96" s="2"/>
      <c r="E96" s="3"/>
      <c r="F96" s="14"/>
      <c r="G96" s="85"/>
      <c r="H96" s="85"/>
      <c r="I96" s="95"/>
      <c r="J96" s="5"/>
    </row>
    <row r="97" spans="1:10" ht="15.75">
      <c r="A97" s="173" t="s">
        <v>699</v>
      </c>
      <c r="B97" s="24"/>
      <c r="C97" s="2"/>
      <c r="D97" s="2"/>
      <c r="E97" s="3"/>
      <c r="F97" s="14"/>
      <c r="G97" s="85"/>
      <c r="H97" s="85"/>
      <c r="I97" s="95"/>
      <c r="J97" s="5"/>
    </row>
    <row r="98" spans="1:10" s="1" customFormat="1" ht="15.75">
      <c r="A98" s="174" t="s">
        <v>658</v>
      </c>
      <c r="B98" s="24"/>
      <c r="C98" s="2" t="s">
        <v>659</v>
      </c>
      <c r="D98" s="2" t="s">
        <v>355</v>
      </c>
      <c r="E98" s="3">
        <v>376</v>
      </c>
      <c r="F98" s="14">
        <f>IF(D98="ag-01",0.12,IF(D98="ar-02",18.43,IF(D98="ar-04",32.71,IF(D98="ac-04",0.51,IF(D98="op-02",4.31,IF(D98="op-01",6.89))))))</f>
        <v>0.12</v>
      </c>
      <c r="G98" s="25">
        <f>E98*F98</f>
        <v>45.12</v>
      </c>
      <c r="I98" s="95">
        <f>SUM(G98:G101,H102:H103)</f>
        <v>217.83361</v>
      </c>
      <c r="J98" s="5"/>
    </row>
    <row r="99" spans="1:10" ht="15.75">
      <c r="A99" s="174" t="s">
        <v>671</v>
      </c>
      <c r="B99" s="24"/>
      <c r="C99" s="2" t="s">
        <v>357</v>
      </c>
      <c r="D99" s="2" t="s">
        <v>672</v>
      </c>
      <c r="E99" s="3">
        <v>0.475</v>
      </c>
      <c r="F99" s="14">
        <v>18.8</v>
      </c>
      <c r="G99" s="25">
        <f>E99*F99</f>
        <v>8.93</v>
      </c>
      <c r="H99" s="1"/>
      <c r="I99" s="95"/>
      <c r="J99" s="5"/>
    </row>
    <row r="100" spans="1:10" ht="15.75">
      <c r="A100" s="101" t="s">
        <v>700</v>
      </c>
      <c r="B100" s="24"/>
      <c r="C100" s="2" t="s">
        <v>357</v>
      </c>
      <c r="D100" s="2" t="s">
        <v>701</v>
      </c>
      <c r="E100" s="3">
        <v>0.791</v>
      </c>
      <c r="F100" s="14">
        <f>IF(D100="ag-01",0.12,IF(D100="ar-02",18.43,IF(D100="ar-04",32.71,IF(D100="ac-04",0.51,IF(D100="op-02",4.31,IF(D100="op-01",6.89))))))</f>
        <v>32.71</v>
      </c>
      <c r="G100" s="271">
        <f>E100*F100</f>
        <v>25.873610000000003</v>
      </c>
      <c r="H100" s="1"/>
      <c r="I100" s="95"/>
      <c r="J100" s="5"/>
    </row>
    <row r="101" spans="1:10" ht="15.75">
      <c r="A101" s="101" t="s">
        <v>702</v>
      </c>
      <c r="B101" s="24"/>
      <c r="C101" s="2" t="s">
        <v>659</v>
      </c>
      <c r="D101" s="2" t="s">
        <v>703</v>
      </c>
      <c r="E101" s="3">
        <v>100</v>
      </c>
      <c r="F101" s="14">
        <v>0.54</v>
      </c>
      <c r="G101" s="271">
        <f>E101*F101</f>
        <v>54</v>
      </c>
      <c r="H101" s="1"/>
      <c r="I101" s="95"/>
      <c r="J101" s="5"/>
    </row>
    <row r="102" spans="1:10" ht="15.75">
      <c r="A102" s="101" t="s">
        <v>289</v>
      </c>
      <c r="B102" s="24"/>
      <c r="C102" s="2" t="s">
        <v>228</v>
      </c>
      <c r="D102" s="2" t="s">
        <v>290</v>
      </c>
      <c r="E102" s="3">
        <v>9</v>
      </c>
      <c r="F102" s="14">
        <f>+C171</f>
        <v>6.89</v>
      </c>
      <c r="G102" s="1"/>
      <c r="H102" s="25">
        <f>E102*F102</f>
        <v>62.01</v>
      </c>
      <c r="I102" s="95"/>
      <c r="J102" s="5"/>
    </row>
    <row r="103" spans="1:10" ht="15.75">
      <c r="A103" s="101" t="s">
        <v>227</v>
      </c>
      <c r="B103" s="24"/>
      <c r="C103" s="2" t="s">
        <v>228</v>
      </c>
      <c r="D103" s="2" t="s">
        <v>229</v>
      </c>
      <c r="E103" s="3">
        <v>5</v>
      </c>
      <c r="F103" s="14">
        <f>+C172</f>
        <v>4.38</v>
      </c>
      <c r="G103" s="1"/>
      <c r="H103" s="25">
        <f>E103*F103</f>
        <v>21.9</v>
      </c>
      <c r="I103" s="95"/>
      <c r="J103" s="5"/>
    </row>
    <row r="104" spans="1:10" ht="16.5" thickBot="1">
      <c r="A104" s="90"/>
      <c r="B104" s="28"/>
      <c r="C104" s="7"/>
      <c r="D104" s="7"/>
      <c r="E104" s="8"/>
      <c r="F104" s="10"/>
      <c r="G104" s="252">
        <f>SUM(G98:G101)</f>
        <v>133.92361</v>
      </c>
      <c r="H104" s="67">
        <f>SUM(H102:H103)</f>
        <v>83.91</v>
      </c>
      <c r="I104" s="96"/>
      <c r="J104" s="11"/>
    </row>
    <row r="105" spans="1:10" ht="16.5" thickTop="1">
      <c r="A105" s="135">
        <v>7.7</v>
      </c>
      <c r="B105" s="24"/>
      <c r="C105" s="2"/>
      <c r="D105" s="2"/>
      <c r="E105" s="3"/>
      <c r="F105" s="14"/>
      <c r="G105" s="85"/>
      <c r="H105" s="85"/>
      <c r="I105" s="95"/>
      <c r="J105" s="5"/>
    </row>
    <row r="106" spans="1:10" ht="15.75">
      <c r="A106" s="123" t="s">
        <v>704</v>
      </c>
      <c r="B106" s="24"/>
      <c r="C106" s="2"/>
      <c r="D106" s="2"/>
      <c r="E106" s="3"/>
      <c r="F106" s="14"/>
      <c r="G106" s="85"/>
      <c r="H106" s="85"/>
      <c r="I106" s="95"/>
      <c r="J106" s="5"/>
    </row>
    <row r="107" spans="1:10" ht="15.75">
      <c r="A107" s="123" t="s">
        <v>705</v>
      </c>
      <c r="B107" s="24"/>
      <c r="C107" s="2"/>
      <c r="D107" s="2"/>
      <c r="E107" s="3"/>
      <c r="F107" s="14"/>
      <c r="G107" s="85"/>
      <c r="H107" s="85"/>
      <c r="I107" s="95"/>
      <c r="J107" s="5"/>
    </row>
    <row r="108" spans="1:10" ht="15.75">
      <c r="A108" s="123" t="s">
        <v>706</v>
      </c>
      <c r="B108" s="24"/>
      <c r="C108" s="2"/>
      <c r="D108" s="2"/>
      <c r="E108" s="3"/>
      <c r="F108" s="14"/>
      <c r="G108" s="85"/>
      <c r="H108" s="85"/>
      <c r="I108" s="95"/>
      <c r="J108" s="5"/>
    </row>
    <row r="109" spans="1:10" ht="15.75">
      <c r="A109" s="172" t="s">
        <v>707</v>
      </c>
      <c r="B109" s="24" t="s">
        <v>387</v>
      </c>
      <c r="C109" s="2" t="s">
        <v>659</v>
      </c>
      <c r="D109" s="2" t="s">
        <v>355</v>
      </c>
      <c r="E109" s="3">
        <v>376</v>
      </c>
      <c r="F109" s="14">
        <f>IF(D109="ag-01",0.12,IF(D109="ar-02",18.43,IF(D109="ar-04",32.71,IF(D109="ef-01",0.95,IF(D109="md-02",3.73,IF(D109="ac-04",0.51,IF(D109="al-02",1,IF(D109="op-01",6.89))))))))</f>
        <v>0.12</v>
      </c>
      <c r="G109" s="25">
        <f aca="true" t="shared" si="1" ref="G109:G115">E109*F109</f>
        <v>45.12</v>
      </c>
      <c r="H109" s="1"/>
      <c r="I109" s="95">
        <f>SUM(G118,H118)</f>
        <v>310.10161</v>
      </c>
      <c r="J109" s="5"/>
    </row>
    <row r="110" spans="1:10" ht="15.75">
      <c r="A110" s="101" t="s">
        <v>671</v>
      </c>
      <c r="B110" s="24"/>
      <c r="C110" s="2" t="s">
        <v>357</v>
      </c>
      <c r="D110" s="2" t="s">
        <v>672</v>
      </c>
      <c r="E110" s="3">
        <v>0.475</v>
      </c>
      <c r="F110" s="268">
        <v>18.8</v>
      </c>
      <c r="G110" s="25">
        <f t="shared" si="1"/>
        <v>8.93</v>
      </c>
      <c r="H110" s="1"/>
      <c r="I110" s="95"/>
      <c r="J110" s="5"/>
    </row>
    <row r="111" spans="1:10" ht="15.75">
      <c r="A111" s="101" t="s">
        <v>708</v>
      </c>
      <c r="B111" s="24"/>
      <c r="C111" s="2" t="s">
        <v>357</v>
      </c>
      <c r="D111" s="2" t="s">
        <v>701</v>
      </c>
      <c r="E111" s="3">
        <v>0.791</v>
      </c>
      <c r="F111" s="14">
        <f>IF(D111="ag-01",0.12,IF(D111="ar-02",18.43,IF(D111="ar-04",32.71,IF(D111="ef-01",0.95,IF(D111="md-02",3.73,IF(D111="ac-04",0.51,IF(D111="al-02",1,IF(D111="op-01",6.89))))))))</f>
        <v>32.71</v>
      </c>
      <c r="G111" s="271">
        <f t="shared" si="1"/>
        <v>25.873610000000003</v>
      </c>
      <c r="H111" s="1"/>
      <c r="I111" s="95"/>
      <c r="J111" s="5"/>
    </row>
    <row r="112" spans="1:10" ht="15.75">
      <c r="A112" s="101" t="s">
        <v>709</v>
      </c>
      <c r="B112" s="24"/>
      <c r="C112" s="2" t="s">
        <v>294</v>
      </c>
      <c r="D112" s="2" t="s">
        <v>519</v>
      </c>
      <c r="E112" s="3">
        <v>2.8</v>
      </c>
      <c r="F112" s="14">
        <v>4.73</v>
      </c>
      <c r="G112" s="271">
        <f t="shared" si="1"/>
        <v>13.244</v>
      </c>
      <c r="H112" s="1"/>
      <c r="I112" s="95"/>
      <c r="J112" s="5"/>
    </row>
    <row r="113" spans="1:10" ht="15.75">
      <c r="A113" s="101" t="s">
        <v>520</v>
      </c>
      <c r="B113" s="24"/>
      <c r="C113" s="2" t="s">
        <v>659</v>
      </c>
      <c r="D113" s="2" t="s">
        <v>521</v>
      </c>
      <c r="E113" s="3">
        <v>2.4</v>
      </c>
      <c r="F113" s="14">
        <v>0.86</v>
      </c>
      <c r="G113" s="271">
        <f t="shared" si="1"/>
        <v>2.064</v>
      </c>
      <c r="H113" s="1"/>
      <c r="I113" s="95"/>
      <c r="J113" s="5"/>
    </row>
    <row r="114" spans="1:10" ht="15.75">
      <c r="A114" s="101" t="s">
        <v>702</v>
      </c>
      <c r="B114" s="24"/>
      <c r="C114" s="2" t="s">
        <v>659</v>
      </c>
      <c r="D114" s="2" t="s">
        <v>703</v>
      </c>
      <c r="E114" s="3">
        <v>70</v>
      </c>
      <c r="F114" s="14">
        <v>0.54</v>
      </c>
      <c r="G114" s="25">
        <f t="shared" si="1"/>
        <v>37.800000000000004</v>
      </c>
      <c r="H114" s="1"/>
      <c r="I114" s="95"/>
      <c r="J114" s="5"/>
    </row>
    <row r="115" spans="1:10" ht="15.75">
      <c r="A115" s="101" t="s">
        <v>710</v>
      </c>
      <c r="B115" s="24"/>
      <c r="C115" s="2" t="s">
        <v>659</v>
      </c>
      <c r="D115" s="2" t="s">
        <v>711</v>
      </c>
      <c r="E115" s="3">
        <v>0.7</v>
      </c>
      <c r="F115" s="268">
        <v>0.7</v>
      </c>
      <c r="G115" s="25">
        <f t="shared" si="1"/>
        <v>0.48999999999999994</v>
      </c>
      <c r="H115" s="1"/>
      <c r="I115" s="95"/>
      <c r="J115" s="5"/>
    </row>
    <row r="116" spans="1:10" ht="15.75">
      <c r="A116" s="101" t="s">
        <v>289</v>
      </c>
      <c r="B116" s="24"/>
      <c r="C116" s="2" t="s">
        <v>228</v>
      </c>
      <c r="D116" s="2" t="s">
        <v>290</v>
      </c>
      <c r="E116" s="3">
        <v>18</v>
      </c>
      <c r="F116" s="14">
        <f>+C171</f>
        <v>6.89</v>
      </c>
      <c r="G116" s="1"/>
      <c r="H116" s="25">
        <f>E116*F116</f>
        <v>124.02</v>
      </c>
      <c r="I116" s="95"/>
      <c r="J116" s="5"/>
    </row>
    <row r="117" spans="1:10" ht="15.75">
      <c r="A117" s="101" t="s">
        <v>227</v>
      </c>
      <c r="B117" s="24"/>
      <c r="C117" s="2" t="s">
        <v>228</v>
      </c>
      <c r="D117" s="2" t="s">
        <v>229</v>
      </c>
      <c r="E117" s="3">
        <v>12</v>
      </c>
      <c r="F117" s="14">
        <f>+C172</f>
        <v>4.38</v>
      </c>
      <c r="G117" s="25"/>
      <c r="H117" s="25">
        <f>E117*F117</f>
        <v>52.56</v>
      </c>
      <c r="I117" s="95"/>
      <c r="J117" s="5"/>
    </row>
    <row r="118" spans="1:10" ht="15.75">
      <c r="A118" s="101"/>
      <c r="B118" s="24"/>
      <c r="C118" s="2"/>
      <c r="D118" s="2"/>
      <c r="E118" s="3"/>
      <c r="F118" s="14"/>
      <c r="G118" s="254">
        <f>SUM(G109:G115)</f>
        <v>133.52161</v>
      </c>
      <c r="H118" s="85">
        <f>SUM(H116:H117)</f>
        <v>176.57999999999998</v>
      </c>
      <c r="I118" s="95"/>
      <c r="J118" s="5"/>
    </row>
    <row r="119" spans="1:10" ht="15.75">
      <c r="A119" s="123" t="s">
        <v>712</v>
      </c>
      <c r="B119" s="24"/>
      <c r="C119" s="2"/>
      <c r="D119" s="2"/>
      <c r="E119" s="3"/>
      <c r="F119" s="14"/>
      <c r="G119" s="85"/>
      <c r="H119" s="85"/>
      <c r="I119" s="95"/>
      <c r="J119" s="5"/>
    </row>
    <row r="120" spans="1:10" ht="15.75">
      <c r="A120" s="137" t="s">
        <v>713</v>
      </c>
      <c r="B120" s="24" t="s">
        <v>389</v>
      </c>
      <c r="C120" s="2" t="s">
        <v>659</v>
      </c>
      <c r="D120" s="2" t="s">
        <v>355</v>
      </c>
      <c r="E120" s="3">
        <v>339</v>
      </c>
      <c r="F120" s="14">
        <f>IF(D120="ag-01",0.12,IF(D120="ar-02",18.43,IF(D120="ar-04",32.71,IF(D120="ef-01",0.95,IF(D120="md-02",3.73,IF(D120="ac-04",0.51,IF(D120="al-02",1,IF(D120="op-01",6.89))))))))</f>
        <v>0.12</v>
      </c>
      <c r="G120" s="25">
        <f aca="true" t="shared" si="2" ref="G120:G126">E120*F120</f>
        <v>40.68</v>
      </c>
      <c r="H120" s="1"/>
      <c r="I120" s="95">
        <f>SUM(G129,H129)</f>
        <v>306.31342</v>
      </c>
      <c r="J120" s="5"/>
    </row>
    <row r="121" spans="1:10" ht="15.75">
      <c r="A121" s="101" t="s">
        <v>671</v>
      </c>
      <c r="B121" s="24"/>
      <c r="C121" s="2" t="s">
        <v>357</v>
      </c>
      <c r="D121" s="2" t="s">
        <v>672</v>
      </c>
      <c r="E121" s="3">
        <v>0.572</v>
      </c>
      <c r="F121" s="268">
        <v>18.8</v>
      </c>
      <c r="G121" s="271">
        <f t="shared" si="2"/>
        <v>10.753599999999999</v>
      </c>
      <c r="H121" s="1"/>
      <c r="I121" s="95"/>
      <c r="J121" s="5"/>
    </row>
    <row r="122" spans="1:10" ht="15.75">
      <c r="A122" s="101" t="s">
        <v>673</v>
      </c>
      <c r="B122" s="24"/>
      <c r="C122" s="2" t="s">
        <v>357</v>
      </c>
      <c r="D122" s="2" t="s">
        <v>674</v>
      </c>
      <c r="E122" s="3">
        <v>0.858</v>
      </c>
      <c r="F122" s="14">
        <f>IF(D122="ag-01",0.12,IF(D122="ar-02",18.43,IF(D122="ar-05",28.79,IF(D122="ef-01",0.95,IF(D122="md-02",3.73,IF(D122="ac-04",0.51,IF(D122="al-02",1,IF(D122="op-01",6.89))))))))</f>
        <v>28.79</v>
      </c>
      <c r="G122" s="271">
        <f t="shared" si="2"/>
        <v>24.701819999999998</v>
      </c>
      <c r="H122" s="1"/>
      <c r="I122" s="95"/>
      <c r="J122" s="5"/>
    </row>
    <row r="123" spans="1:10" ht="15.75">
      <c r="A123" s="101" t="s">
        <v>709</v>
      </c>
      <c r="B123" s="24"/>
      <c r="C123" s="2" t="s">
        <v>294</v>
      </c>
      <c r="D123" s="2" t="s">
        <v>519</v>
      </c>
      <c r="E123" s="3">
        <v>2.8</v>
      </c>
      <c r="F123" s="14">
        <v>4.73</v>
      </c>
      <c r="G123" s="271">
        <f t="shared" si="2"/>
        <v>13.244</v>
      </c>
      <c r="H123" s="1"/>
      <c r="I123" s="95"/>
      <c r="J123" s="5"/>
    </row>
    <row r="124" spans="1:10" ht="15.75">
      <c r="A124" s="101" t="s">
        <v>520</v>
      </c>
      <c r="B124" s="24"/>
      <c r="C124" s="2" t="s">
        <v>659</v>
      </c>
      <c r="D124" s="2" t="s">
        <v>521</v>
      </c>
      <c r="E124" s="3">
        <v>2.4</v>
      </c>
      <c r="F124" s="14">
        <v>0.86</v>
      </c>
      <c r="G124" s="271">
        <f t="shared" si="2"/>
        <v>2.064</v>
      </c>
      <c r="H124" s="1"/>
      <c r="I124" s="95"/>
      <c r="J124" s="5"/>
    </row>
    <row r="125" spans="1:10" ht="15.75">
      <c r="A125" s="101" t="s">
        <v>702</v>
      </c>
      <c r="B125" s="24"/>
      <c r="C125" s="2" t="s">
        <v>659</v>
      </c>
      <c r="D125" s="2" t="s">
        <v>703</v>
      </c>
      <c r="E125" s="3">
        <v>70</v>
      </c>
      <c r="F125" s="14">
        <v>0.54</v>
      </c>
      <c r="G125" s="271">
        <f t="shared" si="2"/>
        <v>37.800000000000004</v>
      </c>
      <c r="H125" s="1"/>
      <c r="I125" s="95"/>
      <c r="J125" s="5"/>
    </row>
    <row r="126" spans="1:10" ht="15.75">
      <c r="A126" s="101" t="s">
        <v>710</v>
      </c>
      <c r="B126" s="24"/>
      <c r="C126" s="2" t="s">
        <v>659</v>
      </c>
      <c r="D126" s="2" t="s">
        <v>711</v>
      </c>
      <c r="E126" s="3">
        <v>0.7</v>
      </c>
      <c r="F126" s="268">
        <v>0.7</v>
      </c>
      <c r="G126" s="25">
        <f t="shared" si="2"/>
        <v>0.48999999999999994</v>
      </c>
      <c r="H126" s="1"/>
      <c r="I126" s="95"/>
      <c r="J126" s="5"/>
    </row>
    <row r="127" spans="1:10" ht="15.75">
      <c r="A127" s="101" t="s">
        <v>289</v>
      </c>
      <c r="B127" s="24"/>
      <c r="C127" s="2" t="s">
        <v>228</v>
      </c>
      <c r="D127" s="2" t="s">
        <v>290</v>
      </c>
      <c r="E127" s="3">
        <v>18</v>
      </c>
      <c r="F127" s="14">
        <f>+C171</f>
        <v>6.89</v>
      </c>
      <c r="G127" s="4"/>
      <c r="H127" s="25">
        <f>E127*F127</f>
        <v>124.02</v>
      </c>
      <c r="I127" s="95"/>
      <c r="J127" s="5"/>
    </row>
    <row r="128" spans="1:10" ht="15.75">
      <c r="A128" s="101" t="s">
        <v>227</v>
      </c>
      <c r="B128" s="24"/>
      <c r="C128" s="2" t="s">
        <v>228</v>
      </c>
      <c r="D128" s="2" t="s">
        <v>229</v>
      </c>
      <c r="E128" s="3">
        <v>12</v>
      </c>
      <c r="F128" s="14">
        <f>+C172</f>
        <v>4.38</v>
      </c>
      <c r="G128" s="25"/>
      <c r="H128" s="25">
        <f>E128*F128</f>
        <v>52.56</v>
      </c>
      <c r="I128" s="95"/>
      <c r="J128" s="5"/>
    </row>
    <row r="129" spans="1:10" ht="16.5" thickBot="1">
      <c r="A129" s="90"/>
      <c r="B129" s="28"/>
      <c r="C129" s="7"/>
      <c r="D129" s="7"/>
      <c r="E129" s="8"/>
      <c r="F129" s="10"/>
      <c r="G129" s="252">
        <f>SUM(G120:G126)</f>
        <v>129.73342000000002</v>
      </c>
      <c r="H129" s="67">
        <f>SUM(H127:H128)</f>
        <v>176.57999999999998</v>
      </c>
      <c r="I129" s="88"/>
      <c r="J129" s="11"/>
    </row>
    <row r="130" spans="1:10" ht="16.5" thickTop="1">
      <c r="A130" s="177">
        <v>7.8</v>
      </c>
      <c r="B130" s="24"/>
      <c r="C130" s="2"/>
      <c r="D130" s="2"/>
      <c r="E130" s="3"/>
      <c r="F130" s="14"/>
      <c r="G130" s="85"/>
      <c r="H130" s="85"/>
      <c r="I130" s="95"/>
      <c r="J130" s="71"/>
    </row>
    <row r="131" spans="1:10" ht="15.75">
      <c r="A131" s="173" t="s">
        <v>714</v>
      </c>
      <c r="B131" s="24"/>
      <c r="C131" s="2"/>
      <c r="D131" s="2"/>
      <c r="E131" s="3"/>
      <c r="F131" s="14"/>
      <c r="G131" s="85"/>
      <c r="H131" s="85"/>
      <c r="I131" s="95"/>
      <c r="J131" s="5"/>
    </row>
    <row r="132" spans="1:10" ht="15.75">
      <c r="A132" s="173" t="s">
        <v>715</v>
      </c>
      <c r="B132" s="24"/>
      <c r="C132" s="2"/>
      <c r="D132" s="2"/>
      <c r="E132" s="3"/>
      <c r="F132" s="14"/>
      <c r="G132" s="85"/>
      <c r="H132" s="85"/>
      <c r="I132" s="95"/>
      <c r="J132" s="5"/>
    </row>
    <row r="133" spans="1:10" s="1" customFormat="1" ht="15.75">
      <c r="A133" s="172" t="s">
        <v>716</v>
      </c>
      <c r="B133" s="24" t="s">
        <v>387</v>
      </c>
      <c r="C133" s="2" t="s">
        <v>659</v>
      </c>
      <c r="D133" s="2" t="s">
        <v>355</v>
      </c>
      <c r="E133" s="3">
        <v>36</v>
      </c>
      <c r="F133" s="14">
        <f>IF(D133="ag-01",0.12,IF(D133="ag-02",0.09,IF(D133="ar-03",12.03,IF(D133="ld-01",0.12,IF(D133="op-02",4.31,IF(D133="op-01",6.89))))))</f>
        <v>0.12</v>
      </c>
      <c r="G133" s="25">
        <f>E133*F133</f>
        <v>4.32</v>
      </c>
      <c r="I133" s="95">
        <f>SUM(G139,H139)</f>
        <v>116.4562</v>
      </c>
      <c r="J133" s="5"/>
    </row>
    <row r="134" spans="1:10" ht="15.75">
      <c r="A134" s="174" t="s">
        <v>557</v>
      </c>
      <c r="B134" s="24"/>
      <c r="C134" s="2" t="s">
        <v>659</v>
      </c>
      <c r="D134" s="2" t="s">
        <v>377</v>
      </c>
      <c r="E134" s="3">
        <v>82</v>
      </c>
      <c r="F134" s="14">
        <f>IF(D134="ag-01",0.12,IF(D134="ag-02",0.09,IF(D134="ar-03",12.03,IF(D134="ld-01",0.12,IF(D134="op-02",4.31,IF(D134="op-01",6.89))))))</f>
        <v>0.09</v>
      </c>
      <c r="G134" s="25">
        <f>E134*F134</f>
        <v>7.38</v>
      </c>
      <c r="H134" s="1"/>
      <c r="I134" s="95"/>
      <c r="J134" s="5"/>
    </row>
    <row r="135" spans="1:10" ht="15.75">
      <c r="A135" s="174" t="s">
        <v>559</v>
      </c>
      <c r="B135" s="24"/>
      <c r="C135" s="2" t="s">
        <v>357</v>
      </c>
      <c r="D135" s="2" t="s">
        <v>560</v>
      </c>
      <c r="E135" s="3">
        <v>0.36</v>
      </c>
      <c r="F135" s="14">
        <v>12.27</v>
      </c>
      <c r="G135" s="271">
        <f>E135*F135</f>
        <v>4.417199999999999</v>
      </c>
      <c r="H135" s="1"/>
      <c r="I135" s="95"/>
      <c r="J135" s="5"/>
    </row>
    <row r="136" spans="1:10" ht="15.75">
      <c r="A136" s="174" t="s">
        <v>692</v>
      </c>
      <c r="B136" s="24"/>
      <c r="C136" s="2" t="s">
        <v>574</v>
      </c>
      <c r="D136" s="2" t="s">
        <v>626</v>
      </c>
      <c r="E136" s="3">
        <v>370</v>
      </c>
      <c r="F136" s="14">
        <f>IF(D136="ag-01",0.12,IF(D136="ag-02",0.09,IF(D136="ar-03",12.03,IF(D136="ld-01",0.12,IF(D136="op-02",4.31,IF(D136="op-01",6.89))))))</f>
        <v>0.12</v>
      </c>
      <c r="G136" s="271">
        <f>E136*F136</f>
        <v>44.4</v>
      </c>
      <c r="H136" s="1"/>
      <c r="I136" s="95"/>
      <c r="J136" s="5"/>
    </row>
    <row r="137" spans="1:10" ht="15.75">
      <c r="A137" s="174" t="s">
        <v>289</v>
      </c>
      <c r="B137" s="24"/>
      <c r="C137" s="2" t="s">
        <v>228</v>
      </c>
      <c r="D137" s="2" t="s">
        <v>290</v>
      </c>
      <c r="E137" s="3">
        <v>4.4</v>
      </c>
      <c r="F137" s="14">
        <f>+C171</f>
        <v>6.89</v>
      </c>
      <c r="G137" s="1"/>
      <c r="H137" s="25">
        <f>E137*F137</f>
        <v>30.316000000000003</v>
      </c>
      <c r="I137" s="95"/>
      <c r="J137" s="5"/>
    </row>
    <row r="138" spans="1:10" ht="15.75">
      <c r="A138" s="174" t="s">
        <v>227</v>
      </c>
      <c r="B138" s="24"/>
      <c r="C138" s="2" t="s">
        <v>228</v>
      </c>
      <c r="D138" s="2" t="s">
        <v>229</v>
      </c>
      <c r="E138" s="3">
        <v>5.85</v>
      </c>
      <c r="F138" s="14">
        <f>+C172</f>
        <v>4.38</v>
      </c>
      <c r="G138" s="25"/>
      <c r="H138" s="25">
        <f>E138*F138</f>
        <v>25.622999999999998</v>
      </c>
      <c r="I138" s="95"/>
      <c r="J138" s="5"/>
    </row>
    <row r="139" spans="1:10" ht="15.75">
      <c r="A139" s="174"/>
      <c r="B139" s="24"/>
      <c r="C139" s="2"/>
      <c r="D139" s="2"/>
      <c r="E139" s="3"/>
      <c r="F139" s="14"/>
      <c r="G139" s="254">
        <f>SUM(G133:G136)</f>
        <v>60.517199999999995</v>
      </c>
      <c r="H139" s="85">
        <f>SUM(H137:H138)</f>
        <v>55.939</v>
      </c>
      <c r="I139" s="95"/>
      <c r="J139" s="5"/>
    </row>
    <row r="140" spans="1:10" ht="15.75">
      <c r="A140" s="173" t="s">
        <v>717</v>
      </c>
      <c r="B140" s="24"/>
      <c r="C140" s="2"/>
      <c r="D140" s="2"/>
      <c r="E140" s="3"/>
      <c r="F140" s="14"/>
      <c r="G140" s="85"/>
      <c r="H140" s="85"/>
      <c r="I140" s="95"/>
      <c r="J140" s="5"/>
    </row>
    <row r="141" spans="1:10" ht="15.75">
      <c r="A141" s="172" t="s">
        <v>718</v>
      </c>
      <c r="B141" s="24" t="s">
        <v>389</v>
      </c>
      <c r="C141" s="2" t="s">
        <v>659</v>
      </c>
      <c r="D141" s="2" t="s">
        <v>355</v>
      </c>
      <c r="E141" s="3">
        <v>12</v>
      </c>
      <c r="F141" s="14">
        <f>IF(D141="ag-01",0.12,IF(D141="ag-03",0.1,IF(D141="ar-03",12.03,IF(D141="ld-01",0.12,IF(D141="op-02",4.31,IF(D141="op-01",6.89))))))</f>
        <v>0.12</v>
      </c>
      <c r="G141" s="25">
        <f>E141*F141</f>
        <v>1.44</v>
      </c>
      <c r="H141" s="1"/>
      <c r="I141" s="95">
        <f>SUM(G147,H147)</f>
        <v>114.0016</v>
      </c>
      <c r="J141" s="5"/>
    </row>
    <row r="142" spans="1:10" ht="15.75">
      <c r="A142" s="174" t="s">
        <v>663</v>
      </c>
      <c r="B142" s="24"/>
      <c r="C142" s="2" t="s">
        <v>659</v>
      </c>
      <c r="D142" s="2" t="s">
        <v>664</v>
      </c>
      <c r="E142" s="3">
        <v>84</v>
      </c>
      <c r="F142" s="14">
        <v>0.09</v>
      </c>
      <c r="G142" s="25">
        <f>E142*F142</f>
        <v>7.56</v>
      </c>
      <c r="H142" s="1"/>
      <c r="I142" s="95"/>
      <c r="J142" s="5"/>
    </row>
    <row r="143" spans="1:10" ht="15.75">
      <c r="A143" s="174" t="s">
        <v>559</v>
      </c>
      <c r="B143" s="24"/>
      <c r="C143" s="2" t="s">
        <v>357</v>
      </c>
      <c r="D143" s="2" t="s">
        <v>560</v>
      </c>
      <c r="E143" s="3">
        <v>0.38</v>
      </c>
      <c r="F143" s="14">
        <v>12.27</v>
      </c>
      <c r="G143" s="271">
        <f>E143*F143</f>
        <v>4.6626</v>
      </c>
      <c r="H143" s="1"/>
      <c r="I143" s="95"/>
      <c r="J143" s="5"/>
    </row>
    <row r="144" spans="1:10" ht="15.75">
      <c r="A144" s="174" t="s">
        <v>692</v>
      </c>
      <c r="B144" s="24"/>
      <c r="C144" s="2" t="s">
        <v>574</v>
      </c>
      <c r="D144" s="2" t="s">
        <v>626</v>
      </c>
      <c r="E144" s="3">
        <v>370</v>
      </c>
      <c r="F144" s="14">
        <f>IF(D144="ag-01",0.12,IF(D144="ag-03",0.1,IF(D144="ar-03",12.03,IF(D144="ld-01",0.12,IF(D144="op-02",4.31,IF(D144="op-01",6.89))))))</f>
        <v>0.12</v>
      </c>
      <c r="G144" s="271">
        <f>E144*F144</f>
        <v>44.4</v>
      </c>
      <c r="H144" s="1"/>
      <c r="I144" s="95"/>
      <c r="J144" s="5"/>
    </row>
    <row r="145" spans="1:10" ht="15.75">
      <c r="A145" s="174" t="s">
        <v>289</v>
      </c>
      <c r="B145" s="24"/>
      <c r="C145" s="2" t="s">
        <v>228</v>
      </c>
      <c r="D145" s="2" t="s">
        <v>290</v>
      </c>
      <c r="E145" s="3">
        <v>4.4</v>
      </c>
      <c r="F145" s="14">
        <f>+C171</f>
        <v>6.89</v>
      </c>
      <c r="G145" s="1"/>
      <c r="H145" s="25">
        <f>E145*F145</f>
        <v>30.316000000000003</v>
      </c>
      <c r="I145" s="95"/>
      <c r="J145" s="5"/>
    </row>
    <row r="146" spans="1:10" ht="15.75">
      <c r="A146" s="101" t="s">
        <v>227</v>
      </c>
      <c r="B146" s="24"/>
      <c r="C146" s="2" t="s">
        <v>228</v>
      </c>
      <c r="D146" s="2" t="s">
        <v>229</v>
      </c>
      <c r="E146" s="3">
        <v>5.85</v>
      </c>
      <c r="F146" s="14">
        <f>+C172</f>
        <v>4.38</v>
      </c>
      <c r="G146" s="25"/>
      <c r="H146" s="25">
        <f>E146*F146</f>
        <v>25.622999999999998</v>
      </c>
      <c r="I146" s="95"/>
      <c r="J146" s="5"/>
    </row>
    <row r="147" spans="1:10" s="150" customFormat="1" ht="16.5" thickBot="1">
      <c r="A147" s="90"/>
      <c r="B147" s="162"/>
      <c r="C147" s="163"/>
      <c r="D147" s="163"/>
      <c r="E147" s="164"/>
      <c r="F147" s="165"/>
      <c r="G147" s="256">
        <f>SUM(G141:G144)</f>
        <v>58.0626</v>
      </c>
      <c r="H147" s="166">
        <f>SUM(H145:H146)</f>
        <v>55.939</v>
      </c>
      <c r="I147" s="167"/>
      <c r="J147" s="154"/>
    </row>
    <row r="148" spans="1:10" ht="16.5" thickTop="1">
      <c r="A148" s="122">
        <v>7.9</v>
      </c>
      <c r="B148" s="24"/>
      <c r="C148" s="2"/>
      <c r="D148" s="2"/>
      <c r="E148" s="3"/>
      <c r="F148" s="14"/>
      <c r="G148" s="85"/>
      <c r="H148" s="85"/>
      <c r="I148" s="95"/>
      <c r="J148" s="71"/>
    </row>
    <row r="149" spans="1:10" ht="15.75">
      <c r="A149" s="123" t="s">
        <v>719</v>
      </c>
      <c r="B149" s="24"/>
      <c r="C149" s="2"/>
      <c r="D149" s="2"/>
      <c r="E149" s="3"/>
      <c r="F149" s="14"/>
      <c r="G149" s="85"/>
      <c r="H149" s="85"/>
      <c r="I149" s="95"/>
      <c r="J149" s="5"/>
    </row>
    <row r="150" spans="1:10" ht="15.75">
      <c r="A150" s="173" t="s">
        <v>720</v>
      </c>
      <c r="B150" s="24"/>
      <c r="C150" s="2"/>
      <c r="D150" s="2"/>
      <c r="E150" s="3"/>
      <c r="F150" s="14"/>
      <c r="G150" s="85"/>
      <c r="H150" s="85"/>
      <c r="I150" s="95"/>
      <c r="J150" s="5"/>
    </row>
    <row r="151" spans="1:10" s="1" customFormat="1" ht="15.75">
      <c r="A151" s="174" t="s">
        <v>658</v>
      </c>
      <c r="B151" s="24"/>
      <c r="C151" s="2" t="s">
        <v>659</v>
      </c>
      <c r="D151" s="2" t="s">
        <v>355</v>
      </c>
      <c r="E151" s="3">
        <v>113</v>
      </c>
      <c r="F151" s="14">
        <f>IF(D151="ag-01",0.12,IF(D151="ag-02",0.09,IF(D151="ar-03",12.03,IF(D151="ld-01",0.12,IF(D151="op-02",4.31,IF(D151="op-01",6.89))))))</f>
        <v>0.12</v>
      </c>
      <c r="G151" s="25">
        <f>E151*F151</f>
        <v>13.559999999999999</v>
      </c>
      <c r="I151" s="95">
        <f>SUM(G151:G154,H155:H156)</f>
        <v>153.6276</v>
      </c>
      <c r="J151" s="5"/>
    </row>
    <row r="152" spans="1:10" ht="15.75">
      <c r="A152" s="174" t="s">
        <v>557</v>
      </c>
      <c r="B152" s="24"/>
      <c r="C152" s="2" t="s">
        <v>659</v>
      </c>
      <c r="D152" s="2" t="s">
        <v>377</v>
      </c>
      <c r="E152" s="3">
        <v>32</v>
      </c>
      <c r="F152" s="14">
        <f>IF(D152="ag-01",0.12,IF(D152="ag-02",0.09,IF(D152="ar-03",12.03,IF(D152="ld-01",0.12,IF(D152="op-02",4.31,IF(D152="op-01",6.89))))))</f>
        <v>0.09</v>
      </c>
      <c r="G152" s="25">
        <f>E152*F152</f>
        <v>2.88</v>
      </c>
      <c r="H152" s="1"/>
      <c r="I152" s="95"/>
      <c r="J152" s="5"/>
    </row>
    <row r="153" spans="1:10" ht="15.75">
      <c r="A153" s="174" t="s">
        <v>559</v>
      </c>
      <c r="B153" s="24"/>
      <c r="C153" s="2" t="s">
        <v>357</v>
      </c>
      <c r="D153" s="2" t="s">
        <v>560</v>
      </c>
      <c r="E153" s="3">
        <v>0.38</v>
      </c>
      <c r="F153" s="14">
        <v>12.27</v>
      </c>
      <c r="G153" s="271">
        <f>E153*F153</f>
        <v>4.6626</v>
      </c>
      <c r="H153" s="1"/>
      <c r="I153" s="95"/>
      <c r="J153" s="5"/>
    </row>
    <row r="154" spans="1:10" ht="15.75">
      <c r="A154" s="101" t="s">
        <v>692</v>
      </c>
      <c r="B154" s="24"/>
      <c r="C154" s="2" t="s">
        <v>574</v>
      </c>
      <c r="D154" s="2" t="s">
        <v>626</v>
      </c>
      <c r="E154" s="3">
        <v>400</v>
      </c>
      <c r="F154" s="14">
        <f>IF(D154="ag-01",0.12,IF(D154="ag-02",0.09,IF(D154="ar-03",12.03,IF(D154="ld-01",0.12,IF(D154="op-02",4.31,IF(D154="op-01",6.89))))))</f>
        <v>0.12</v>
      </c>
      <c r="G154" s="271">
        <f>E154*F154</f>
        <v>48</v>
      </c>
      <c r="H154" s="1"/>
      <c r="I154" s="95"/>
      <c r="J154" s="5"/>
    </row>
    <row r="155" spans="1:10" ht="15.75">
      <c r="A155" s="101" t="s">
        <v>289</v>
      </c>
      <c r="B155" s="24"/>
      <c r="C155" s="2" t="s">
        <v>228</v>
      </c>
      <c r="D155" s="2" t="s">
        <v>290</v>
      </c>
      <c r="E155" s="3">
        <v>7.5</v>
      </c>
      <c r="F155" s="14">
        <f>+C171</f>
        <v>6.89</v>
      </c>
      <c r="G155" s="1"/>
      <c r="H155" s="25">
        <f>E155*F155</f>
        <v>51.675</v>
      </c>
      <c r="I155" s="95"/>
      <c r="J155" s="5"/>
    </row>
    <row r="156" spans="1:10" ht="15.75">
      <c r="A156" s="101" t="s">
        <v>227</v>
      </c>
      <c r="B156" s="24"/>
      <c r="C156" s="2" t="s">
        <v>228</v>
      </c>
      <c r="D156" s="2" t="s">
        <v>229</v>
      </c>
      <c r="E156" s="3">
        <v>7.5</v>
      </c>
      <c r="F156" s="14">
        <f>+C172</f>
        <v>4.38</v>
      </c>
      <c r="G156" s="25"/>
      <c r="H156" s="25">
        <f>E156*F156</f>
        <v>32.85</v>
      </c>
      <c r="I156" s="95"/>
      <c r="J156" s="5"/>
    </row>
    <row r="157" spans="1:10" ht="16.5" thickBot="1">
      <c r="A157" s="90"/>
      <c r="B157" s="28"/>
      <c r="C157" s="7"/>
      <c r="D157" s="7"/>
      <c r="E157" s="8"/>
      <c r="F157" s="73"/>
      <c r="G157" s="252">
        <f>SUM(G151:G154)</f>
        <v>69.1026</v>
      </c>
      <c r="H157" s="67">
        <f>SUM(H155:H156)</f>
        <v>84.525</v>
      </c>
      <c r="I157" s="88"/>
      <c r="J157" s="11"/>
    </row>
    <row r="158" spans="1:10" ht="16.5" thickTop="1">
      <c r="A158" s="129">
        <v>7.1</v>
      </c>
      <c r="B158" s="24"/>
      <c r="C158" s="2"/>
      <c r="D158" s="2"/>
      <c r="E158" s="3"/>
      <c r="F158" s="14"/>
      <c r="G158" s="85"/>
      <c r="H158" s="85"/>
      <c r="I158" s="95"/>
      <c r="J158" s="5"/>
    </row>
    <row r="159" spans="1:10" ht="15.75">
      <c r="A159" s="123" t="s">
        <v>721</v>
      </c>
      <c r="B159" s="24"/>
      <c r="C159" s="2"/>
      <c r="D159" s="2"/>
      <c r="E159" s="3"/>
      <c r="F159" s="14"/>
      <c r="G159" s="85"/>
      <c r="H159" s="85"/>
      <c r="I159" s="95"/>
      <c r="J159" s="5"/>
    </row>
    <row r="160" spans="1:10" ht="15.75">
      <c r="A160" s="123" t="s">
        <v>722</v>
      </c>
      <c r="B160" s="24"/>
      <c r="C160" s="2"/>
      <c r="D160" s="2"/>
      <c r="E160" s="3"/>
      <c r="F160" s="14"/>
      <c r="G160" s="85"/>
      <c r="H160" s="85"/>
      <c r="I160" s="95"/>
      <c r="J160" s="5"/>
    </row>
    <row r="161" spans="1:10" ht="15.75">
      <c r="A161" s="174" t="s">
        <v>658</v>
      </c>
      <c r="B161" s="24"/>
      <c r="C161" s="2" t="s">
        <v>659</v>
      </c>
      <c r="D161" s="2" t="s">
        <v>355</v>
      </c>
      <c r="E161" s="3">
        <v>67</v>
      </c>
      <c r="F161" s="14">
        <f>IF(D161="ag-01",0.12,IF(D161="ag-02",0.09,IF(D161="ar-03",12.03,IF(D161="ld-01",0.12,IF(D161="op-02",4.31,IF(D161="op-01",6.89))))))</f>
        <v>0.12</v>
      </c>
      <c r="G161" s="25">
        <f>E161*F161</f>
        <v>8.04</v>
      </c>
      <c r="H161" s="1"/>
      <c r="I161" s="95">
        <f>SUM(G161:G164,H165:H166)</f>
        <v>129.4908</v>
      </c>
      <c r="J161" s="5"/>
    </row>
    <row r="162" spans="1:10" ht="15.75">
      <c r="A162" s="101" t="s">
        <v>557</v>
      </c>
      <c r="B162" s="24"/>
      <c r="C162" s="2" t="s">
        <v>659</v>
      </c>
      <c r="D162" s="2" t="s">
        <v>377</v>
      </c>
      <c r="E162" s="3">
        <v>76</v>
      </c>
      <c r="F162" s="14">
        <f>IF(D162="ag-01",0.12,IF(D162="ag-02",0.09,IF(D162="ar-03",12.03,IF(D162="ld-01",0.12,IF(D162="op-02",4.31,IF(D162="op-01",6.89))))))</f>
        <v>0.09</v>
      </c>
      <c r="G162" s="25">
        <f>E162*F162</f>
        <v>6.84</v>
      </c>
      <c r="H162" s="1"/>
      <c r="I162" s="95"/>
      <c r="J162" s="5"/>
    </row>
    <row r="163" spans="1:10" ht="15.75">
      <c r="A163" s="101" t="s">
        <v>559</v>
      </c>
      <c r="B163" s="24"/>
      <c r="C163" s="2" t="s">
        <v>357</v>
      </c>
      <c r="D163" s="2" t="s">
        <v>560</v>
      </c>
      <c r="E163" s="3">
        <v>0.34</v>
      </c>
      <c r="F163" s="14">
        <v>12.27</v>
      </c>
      <c r="G163" s="271">
        <f>E163*F163</f>
        <v>4.1718</v>
      </c>
      <c r="H163" s="1"/>
      <c r="I163" s="95"/>
      <c r="J163" s="5"/>
    </row>
    <row r="164" spans="1:10" ht="15.75">
      <c r="A164" s="101" t="s">
        <v>692</v>
      </c>
      <c r="B164" s="24"/>
      <c r="C164" s="2" t="s">
        <v>574</v>
      </c>
      <c r="D164" s="2" t="s">
        <v>626</v>
      </c>
      <c r="E164" s="3">
        <v>385</v>
      </c>
      <c r="F164" s="14">
        <f>IF(D164="ag-01",0.12,IF(D164="ag-02",0.09,IF(D164="ar-03",12.03,IF(D164="ld-01",0.12,IF(D164="op-02",4.31,IF(D164="op-01",6.89))))))</f>
        <v>0.12</v>
      </c>
      <c r="G164" s="271">
        <f>E164*F164</f>
        <v>46.199999999999996</v>
      </c>
      <c r="H164" s="1"/>
      <c r="I164" s="95"/>
      <c r="J164" s="5"/>
    </row>
    <row r="165" spans="1:10" ht="15.75">
      <c r="A165" s="101" t="s">
        <v>289</v>
      </c>
      <c r="B165" s="24"/>
      <c r="C165" s="2" t="s">
        <v>228</v>
      </c>
      <c r="D165" s="2" t="s">
        <v>290</v>
      </c>
      <c r="E165" s="3">
        <v>5.7</v>
      </c>
      <c r="F165" s="14">
        <f>+C171</f>
        <v>6.89</v>
      </c>
      <c r="G165" s="1"/>
      <c r="H165" s="25">
        <f>E165*F165</f>
        <v>39.272999999999996</v>
      </c>
      <c r="I165" s="95"/>
      <c r="J165" s="5"/>
    </row>
    <row r="166" spans="1:10" ht="15.75">
      <c r="A166" s="101" t="s">
        <v>227</v>
      </c>
      <c r="B166" s="24"/>
      <c r="C166" s="2" t="s">
        <v>228</v>
      </c>
      <c r="D166" s="2" t="s">
        <v>229</v>
      </c>
      <c r="E166" s="3">
        <v>5.7</v>
      </c>
      <c r="F166" s="14">
        <f>+C172</f>
        <v>4.38</v>
      </c>
      <c r="G166" s="25"/>
      <c r="H166" s="25">
        <f>E166*F166</f>
        <v>24.966</v>
      </c>
      <c r="I166" s="95"/>
      <c r="J166" s="5"/>
    </row>
    <row r="167" spans="1:10" ht="16.5" thickBot="1">
      <c r="A167" s="93"/>
      <c r="B167" s="78"/>
      <c r="C167" s="17"/>
      <c r="D167" s="17"/>
      <c r="E167" s="18"/>
      <c r="F167" s="79"/>
      <c r="G167" s="253">
        <f>SUM(G161:G164)</f>
        <v>65.2518</v>
      </c>
      <c r="H167" s="66">
        <f>SUM(H165:H166)</f>
        <v>64.239</v>
      </c>
      <c r="I167" s="92"/>
      <c r="J167" s="20"/>
    </row>
    <row r="168" spans="1:10" ht="16.5" thickTop="1">
      <c r="A168" s="22"/>
      <c r="B168" s="40"/>
      <c r="C168" s="22"/>
      <c r="D168" s="22"/>
      <c r="E168" s="23"/>
      <c r="F168" s="21"/>
      <c r="G168" s="21"/>
      <c r="H168" s="21"/>
      <c r="I168" s="21"/>
      <c r="J168" s="21"/>
    </row>
    <row r="169" spans="1:10" ht="15.75">
      <c r="A169" s="22"/>
      <c r="B169" s="40"/>
      <c r="C169" s="22"/>
      <c r="D169" s="22"/>
      <c r="E169" s="23"/>
      <c r="F169" s="21"/>
      <c r="G169" s="21"/>
      <c r="H169" s="21"/>
      <c r="I169" s="21"/>
      <c r="J169" s="21"/>
    </row>
    <row r="170" spans="1:10" ht="15.75">
      <c r="A170" s="22"/>
      <c r="B170" s="40"/>
      <c r="C170" s="22"/>
      <c r="D170" s="22"/>
      <c r="E170" s="23"/>
      <c r="G170" s="21"/>
      <c r="H170" s="21"/>
      <c r="I170" s="21"/>
      <c r="J170" s="21"/>
    </row>
    <row r="171" spans="1:10" ht="15.75">
      <c r="A171" s="22"/>
      <c r="B171" s="301" t="s">
        <v>290</v>
      </c>
      <c r="C171" s="40">
        <v>6.89</v>
      </c>
      <c r="E171" s="22"/>
      <c r="H171" s="21"/>
      <c r="I171" s="21"/>
      <c r="J171" s="21"/>
    </row>
    <row r="172" spans="1:10" ht="15.75">
      <c r="A172" s="22"/>
      <c r="B172" s="301" t="s">
        <v>229</v>
      </c>
      <c r="C172" s="40">
        <v>4.38</v>
      </c>
      <c r="D172" s="40"/>
      <c r="F172" s="22"/>
      <c r="G172" s="21"/>
      <c r="H172" s="21"/>
      <c r="I172" s="21"/>
      <c r="J172" s="21"/>
    </row>
    <row r="173" spans="1:10" ht="15.75">
      <c r="A173" s="22"/>
      <c r="B173" s="40"/>
      <c r="C173" s="22"/>
      <c r="D173" s="40"/>
      <c r="E173" s="22"/>
      <c r="F173" s="22"/>
      <c r="G173" s="21"/>
      <c r="H173" s="21"/>
      <c r="I173" s="21"/>
      <c r="J173" s="21"/>
    </row>
    <row r="174" spans="1:10" ht="15.75">
      <c r="A174" s="22"/>
      <c r="B174" s="40"/>
      <c r="C174" s="22"/>
      <c r="D174" s="23"/>
      <c r="E174" s="23"/>
      <c r="F174" s="21"/>
      <c r="G174" s="21"/>
      <c r="H174" s="21"/>
      <c r="I174" s="21"/>
      <c r="J174" s="21"/>
    </row>
    <row r="175" spans="1:10" ht="15.75">
      <c r="A175" s="22"/>
      <c r="B175" s="40"/>
      <c r="C175" s="22"/>
      <c r="D175" s="22"/>
      <c r="E175" s="23"/>
      <c r="F175" s="21"/>
      <c r="G175" s="21"/>
      <c r="H175" s="21"/>
      <c r="I175" s="21"/>
      <c r="J175" s="21"/>
    </row>
    <row r="176" spans="1:10" ht="15.75">
      <c r="A176" s="22"/>
      <c r="B176" s="40"/>
      <c r="C176" s="22"/>
      <c r="D176" s="22"/>
      <c r="E176" s="23"/>
      <c r="F176" s="21"/>
      <c r="G176" s="21"/>
      <c r="H176" s="21"/>
      <c r="I176" s="21"/>
      <c r="J176" s="21"/>
    </row>
    <row r="177" spans="1:10" ht="15.75">
      <c r="A177" s="22"/>
      <c r="B177" s="40"/>
      <c r="C177" s="22"/>
      <c r="D177" s="22"/>
      <c r="E177" s="23"/>
      <c r="F177" s="21"/>
      <c r="G177" s="21"/>
      <c r="H177" s="21"/>
      <c r="I177" s="21"/>
      <c r="J177" s="21"/>
    </row>
    <row r="178" spans="1:10" ht="15.75">
      <c r="A178" s="22"/>
      <c r="B178" s="40"/>
      <c r="C178" s="22"/>
      <c r="D178" s="22"/>
      <c r="E178" s="23"/>
      <c r="F178" s="21"/>
      <c r="G178" s="21"/>
      <c r="H178" s="21"/>
      <c r="I178" s="21"/>
      <c r="J178" s="21"/>
    </row>
    <row r="179" spans="1:10" ht="15.75">
      <c r="A179" s="22"/>
      <c r="B179" s="40"/>
      <c r="C179" s="22"/>
      <c r="D179" s="22"/>
      <c r="E179" s="23"/>
      <c r="F179" s="21"/>
      <c r="G179" s="21"/>
      <c r="H179" s="21"/>
      <c r="I179" s="21"/>
      <c r="J179" s="21"/>
    </row>
    <row r="180" spans="1:10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</sheetData>
  <printOptions horizontalCentered="1" verticalCentered="1"/>
  <pageMargins left="0.037401" right="0.037401575" top="1" bottom="1" header="0" footer="0"/>
  <pageSetup horizontalDpi="200" verticalDpi="2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4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114" sqref="C114"/>
    </sheetView>
  </sheetViews>
  <sheetFormatPr defaultColWidth="11.421875" defaultRowHeight="12.75"/>
  <cols>
    <col min="1" max="1" width="53.421875" style="0" customWidth="1"/>
    <col min="2" max="2" width="5.28125" style="0" customWidth="1"/>
    <col min="3" max="4" width="8.28125" style="0" customWidth="1"/>
    <col min="5" max="5" width="10.28125" style="0" customWidth="1"/>
    <col min="6" max="6" width="9.7109375" style="0" customWidth="1"/>
    <col min="7" max="7" width="10.28125" style="0" customWidth="1"/>
    <col min="8" max="8" width="9.28125" style="0" customWidth="1"/>
    <col min="9" max="9" width="10.57421875" style="0" customWidth="1"/>
    <col min="10" max="10" width="90.7109375" style="153" customWidth="1"/>
  </cols>
  <sheetData>
    <row r="1" spans="1:10" ht="17.25" thickBot="1" thickTop="1">
      <c r="A1" s="275" t="s">
        <v>723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48.7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ht="16.5" thickTop="1">
      <c r="A3" s="135">
        <v>8.1</v>
      </c>
      <c r="B3" s="124"/>
      <c r="C3" s="124"/>
      <c r="D3" s="141"/>
      <c r="E3" s="141"/>
      <c r="F3" s="133"/>
      <c r="G3" s="124"/>
      <c r="H3" s="141"/>
      <c r="I3" s="124"/>
      <c r="J3" s="169"/>
    </row>
    <row r="4" spans="1:10" ht="15.75">
      <c r="A4" s="136" t="s">
        <v>724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ht="15.75">
      <c r="A5" s="136" t="s">
        <v>725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ht="15.75">
      <c r="A6" s="137" t="s">
        <v>726</v>
      </c>
      <c r="B6" s="125"/>
      <c r="C6" s="125"/>
      <c r="D6" s="126"/>
      <c r="E6" s="126"/>
      <c r="F6" s="126"/>
      <c r="G6" s="125"/>
      <c r="H6" s="126"/>
      <c r="I6" s="125"/>
      <c r="J6" s="152"/>
    </row>
    <row r="7" spans="1:10" ht="15.75">
      <c r="A7" s="179" t="s">
        <v>727</v>
      </c>
      <c r="B7" s="125"/>
      <c r="C7" s="125"/>
      <c r="D7" s="126"/>
      <c r="E7" s="126"/>
      <c r="F7" s="126"/>
      <c r="G7" s="125"/>
      <c r="H7" s="126"/>
      <c r="I7" s="125"/>
      <c r="J7" s="152"/>
    </row>
    <row r="8" spans="1:10" s="1" customFormat="1" ht="15.75">
      <c r="A8" s="174" t="s">
        <v>624</v>
      </c>
      <c r="C8" s="24" t="s">
        <v>287</v>
      </c>
      <c r="D8" s="24" t="s">
        <v>355</v>
      </c>
      <c r="E8" s="3">
        <v>10.4</v>
      </c>
      <c r="F8" s="14">
        <f>IF(D8="ag-01",0.12,IF(D8="ad-01",0.6,IF(D8="ar-03",12.03,IF(D8="ar-06",15,IF(D8="op-02",4.31,IF(D8="op-01",6.89))))))</f>
        <v>0.12</v>
      </c>
      <c r="G8" s="25">
        <f>E8*F8</f>
        <v>1.248</v>
      </c>
      <c r="I8" s="95">
        <f>SUM(G8:G10,H11:H12)</f>
        <v>5.492780000000001</v>
      </c>
      <c r="J8" s="5"/>
    </row>
    <row r="9" spans="1:10" ht="15.75">
      <c r="A9" s="174" t="s">
        <v>559</v>
      </c>
      <c r="B9" s="1"/>
      <c r="C9" s="24" t="s">
        <v>357</v>
      </c>
      <c r="D9" s="24" t="s">
        <v>560</v>
      </c>
      <c r="E9" s="3">
        <v>0.026</v>
      </c>
      <c r="F9" s="14">
        <f>IF(D9="ag-01",0.12,IF(D9="ad-01",0.6,IF(D9="ar-03",12.03,IF(D9="ar-06",15,IF(D9="op-02",4.31,IF(D9="op-01",6.89))))))</f>
        <v>12.03</v>
      </c>
      <c r="G9" s="25">
        <f>E9*F9</f>
        <v>0.31277999999999995</v>
      </c>
      <c r="H9" s="1"/>
      <c r="I9" s="95"/>
      <c r="J9" s="5"/>
    </row>
    <row r="10" spans="1:10" ht="15.75">
      <c r="A10" s="101" t="s">
        <v>728</v>
      </c>
      <c r="B10" s="1"/>
      <c r="C10" s="24" t="s">
        <v>287</v>
      </c>
      <c r="D10" s="24" t="s">
        <v>729</v>
      </c>
      <c r="E10" s="3">
        <v>0.5</v>
      </c>
      <c r="F10" s="14">
        <f>IF(D10="ag-01",0.12,IF(D10="ad-01",0.6,IF(D10="ar-03",12.03,IF(D10="ar-06",15,IF(D10="op-02",4.31,IF(D10="op-01",6.89))))))</f>
        <v>0.6</v>
      </c>
      <c r="G10" s="25">
        <f>E10*F10</f>
        <v>0.3</v>
      </c>
      <c r="H10" s="1"/>
      <c r="I10" s="95"/>
      <c r="J10" s="5"/>
    </row>
    <row r="11" spans="1:10" ht="15.75">
      <c r="A11" s="101" t="s">
        <v>289</v>
      </c>
      <c r="B11" s="1"/>
      <c r="C11" s="24" t="s">
        <v>228</v>
      </c>
      <c r="D11" s="24" t="s">
        <v>290</v>
      </c>
      <c r="E11" s="3">
        <v>0.4</v>
      </c>
      <c r="F11" s="14">
        <f>+C112</f>
        <v>6.89</v>
      </c>
      <c r="G11" s="1"/>
      <c r="H11" s="25">
        <f>E11*F11</f>
        <v>2.7560000000000002</v>
      </c>
      <c r="I11" s="95"/>
      <c r="J11" s="5"/>
    </row>
    <row r="12" spans="1:10" ht="15.75">
      <c r="A12" s="101" t="s">
        <v>227</v>
      </c>
      <c r="B12" s="1"/>
      <c r="C12" s="24" t="s">
        <v>228</v>
      </c>
      <c r="D12" s="24" t="s">
        <v>229</v>
      </c>
      <c r="E12" s="3">
        <v>0.2</v>
      </c>
      <c r="F12" s="14">
        <f>+C113</f>
        <v>4.38</v>
      </c>
      <c r="G12" s="1"/>
      <c r="H12" s="25">
        <f>E12*F12</f>
        <v>0.876</v>
      </c>
      <c r="I12" s="95"/>
      <c r="J12" s="5"/>
    </row>
    <row r="13" spans="1:10" ht="16.5" thickBot="1">
      <c r="A13" s="90"/>
      <c r="B13" s="59"/>
      <c r="C13" s="28"/>
      <c r="D13" s="28"/>
      <c r="E13" s="8"/>
      <c r="F13" s="73"/>
      <c r="G13" s="252">
        <f>SUM(G8:G10)</f>
        <v>1.8607799999999999</v>
      </c>
      <c r="H13" s="252">
        <f>SUM(H11:H12)</f>
        <v>3.632</v>
      </c>
      <c r="I13" s="88"/>
      <c r="J13" s="11"/>
    </row>
    <row r="14" spans="1:10" ht="16.5" thickTop="1">
      <c r="A14" s="177">
        <v>8.2</v>
      </c>
      <c r="B14" s="77"/>
      <c r="C14" s="69"/>
      <c r="D14" s="69"/>
      <c r="E14" s="70"/>
      <c r="F14" s="139"/>
      <c r="G14" s="115"/>
      <c r="H14" s="115"/>
      <c r="I14" s="89"/>
      <c r="J14" s="71"/>
    </row>
    <row r="15" spans="1:10" ht="15.75">
      <c r="A15" s="173" t="s">
        <v>730</v>
      </c>
      <c r="B15" s="1"/>
      <c r="C15" s="24"/>
      <c r="D15" s="24"/>
      <c r="E15" s="3"/>
      <c r="F15" s="14"/>
      <c r="G15" s="85"/>
      <c r="H15" s="85"/>
      <c r="I15" s="95"/>
      <c r="J15" s="5"/>
    </row>
    <row r="16" spans="1:10" ht="15.75">
      <c r="A16" s="173" t="s">
        <v>731</v>
      </c>
      <c r="B16" s="1"/>
      <c r="C16" s="24"/>
      <c r="D16" s="24"/>
      <c r="E16" s="3"/>
      <c r="F16" s="14"/>
      <c r="G16" s="85"/>
      <c r="H16" s="85"/>
      <c r="I16" s="95"/>
      <c r="J16" s="5"/>
    </row>
    <row r="17" spans="1:10" s="1" customFormat="1" ht="15.75">
      <c r="A17" s="174" t="s">
        <v>624</v>
      </c>
      <c r="B17" s="24"/>
      <c r="C17" s="2" t="s">
        <v>287</v>
      </c>
      <c r="D17" s="24" t="s">
        <v>355</v>
      </c>
      <c r="E17" s="3">
        <v>7.3</v>
      </c>
      <c r="F17" s="14">
        <f>IF(D17="ag-01",0.12,IF(D17="ad-01",0.6,IF(D17="ar-03",12.03,IF(D17="ar-06",15,IF(D17="op-02",4.31,IF(D17="op-01",6.89))))))</f>
        <v>0.12</v>
      </c>
      <c r="G17" s="25">
        <f>E17*F17</f>
        <v>0.876</v>
      </c>
      <c r="I17" s="95">
        <f>SUM(G17:G19,H20:H21)</f>
        <v>3.8449400000000002</v>
      </c>
      <c r="J17" s="5"/>
    </row>
    <row r="18" spans="1:10" ht="15.75">
      <c r="A18" s="174" t="s">
        <v>559</v>
      </c>
      <c r="B18" s="24"/>
      <c r="C18" s="2" t="s">
        <v>357</v>
      </c>
      <c r="D18" s="24" t="s">
        <v>560</v>
      </c>
      <c r="E18" s="3">
        <v>0.018</v>
      </c>
      <c r="F18" s="14">
        <f>IF(D18="ag-01",0.12,IF(D18="ad-01",0.6,IF(D18="ar-03",12.03,IF(D18="ar-06",15,IF(D18="op-02",4.31,IF(D18="op-01",6.89))))))</f>
        <v>12.03</v>
      </c>
      <c r="G18" s="25">
        <f>E18*F18</f>
        <v>0.21653999999999998</v>
      </c>
      <c r="H18" s="1"/>
      <c r="I18" s="95"/>
      <c r="J18" s="5"/>
    </row>
    <row r="19" spans="1:10" ht="15.75">
      <c r="A19" s="174" t="s">
        <v>728</v>
      </c>
      <c r="B19" s="24"/>
      <c r="C19" s="2" t="s">
        <v>287</v>
      </c>
      <c r="D19" s="24" t="s">
        <v>729</v>
      </c>
      <c r="E19" s="3">
        <v>0.35</v>
      </c>
      <c r="F19" s="14">
        <f>IF(D19="ag-01",0.12,IF(D19="ad-01",0.6,IF(D19="ar-03",12.03,IF(D19="ar-06",15,IF(D19="op-02",4.31,IF(D19="op-01",6.89))))))</f>
        <v>0.6</v>
      </c>
      <c r="G19" s="25">
        <f>E19*F19</f>
        <v>0.21</v>
      </c>
      <c r="H19" s="1"/>
      <c r="I19" s="95"/>
      <c r="J19" s="5"/>
    </row>
    <row r="20" spans="1:10" ht="15.75">
      <c r="A20" s="174" t="s">
        <v>289</v>
      </c>
      <c r="B20" s="24"/>
      <c r="C20" s="2" t="s">
        <v>228</v>
      </c>
      <c r="D20" s="24" t="s">
        <v>290</v>
      </c>
      <c r="E20" s="3">
        <v>0.28</v>
      </c>
      <c r="F20" s="14">
        <f>+C112</f>
        <v>6.89</v>
      </c>
      <c r="G20" s="1"/>
      <c r="H20" s="25">
        <f>E20*F20</f>
        <v>1.9292</v>
      </c>
      <c r="I20" s="95"/>
      <c r="J20" s="5"/>
    </row>
    <row r="21" spans="1:10" ht="15.75">
      <c r="A21" s="174" t="s">
        <v>227</v>
      </c>
      <c r="B21" s="24"/>
      <c r="C21" s="2" t="s">
        <v>228</v>
      </c>
      <c r="D21" s="24" t="s">
        <v>229</v>
      </c>
      <c r="E21" s="3">
        <v>0.14</v>
      </c>
      <c r="F21" s="14">
        <f>+C113</f>
        <v>4.38</v>
      </c>
      <c r="G21" s="1"/>
      <c r="H21" s="25">
        <f>E21*F21</f>
        <v>0.6132000000000001</v>
      </c>
      <c r="I21" s="95"/>
      <c r="J21" s="51"/>
    </row>
    <row r="22" spans="1:10" ht="16.5" thickBot="1">
      <c r="A22" s="90"/>
      <c r="B22" s="72"/>
      <c r="C22" s="7"/>
      <c r="D22" s="28"/>
      <c r="E22" s="8"/>
      <c r="F22" s="73"/>
      <c r="G22" s="252">
        <f>SUM(G17:G19)</f>
        <v>1.30254</v>
      </c>
      <c r="H22" s="252">
        <f>SUM(H20:H21)</f>
        <v>2.5424</v>
      </c>
      <c r="I22" s="88"/>
      <c r="J22" s="11"/>
    </row>
    <row r="23" spans="1:10" ht="16.5" thickTop="1">
      <c r="A23" s="177">
        <v>8.3</v>
      </c>
      <c r="B23" s="113"/>
      <c r="C23" s="56"/>
      <c r="D23" s="69"/>
      <c r="E23" s="70"/>
      <c r="F23" s="139"/>
      <c r="G23" s="115"/>
      <c r="H23" s="115"/>
      <c r="I23" s="89"/>
      <c r="J23" s="5"/>
    </row>
    <row r="24" spans="1:10" ht="15.75">
      <c r="A24" s="173" t="s">
        <v>732</v>
      </c>
      <c r="B24" s="24"/>
      <c r="C24" s="2"/>
      <c r="D24" s="24"/>
      <c r="E24" s="3"/>
      <c r="F24" s="14"/>
      <c r="G24" s="85"/>
      <c r="H24" s="85"/>
      <c r="I24" s="95"/>
      <c r="J24" s="5"/>
    </row>
    <row r="25" spans="1:10" ht="15.75">
      <c r="A25" s="173" t="s">
        <v>733</v>
      </c>
      <c r="B25" s="24"/>
      <c r="C25" s="2"/>
      <c r="D25" s="24"/>
      <c r="E25" s="3"/>
      <c r="F25" s="14"/>
      <c r="G25" s="85"/>
      <c r="H25" s="85"/>
      <c r="I25" s="95"/>
      <c r="J25" s="71"/>
    </row>
    <row r="26" spans="1:10" s="1" customFormat="1" ht="15.75">
      <c r="A26" s="174" t="s">
        <v>624</v>
      </c>
      <c r="B26" s="24"/>
      <c r="C26" s="2" t="s">
        <v>287</v>
      </c>
      <c r="D26" s="24" t="s">
        <v>355</v>
      </c>
      <c r="E26" s="3">
        <v>7.8</v>
      </c>
      <c r="F26" s="14">
        <f>IF(D26="ag-01",0.12,IF(D26="ad-01",0.6,IF(D26="ar-03",12.03,IF(D26="ar-06",15,IF(D26="op-02",4.31,IF(D26="op-01",6.89))))))</f>
        <v>0.12</v>
      </c>
      <c r="G26" s="25">
        <f>E26*F26</f>
        <v>0.9359999999999999</v>
      </c>
      <c r="I26" s="95">
        <f>SUM(G26:G28,H29:H30)</f>
        <v>2.4189</v>
      </c>
      <c r="J26" s="5"/>
    </row>
    <row r="27" spans="1:10" ht="15.75">
      <c r="A27" s="174" t="s">
        <v>559</v>
      </c>
      <c r="B27" s="24"/>
      <c r="C27" s="2" t="s">
        <v>357</v>
      </c>
      <c r="D27" s="24" t="s">
        <v>560</v>
      </c>
      <c r="E27" s="3">
        <v>0.02</v>
      </c>
      <c r="F27" s="14">
        <f>IF(D27="ag-01",0.12,IF(D27="ad-01",0.6,IF(D27="ar-03",12.03,IF(D27="ar-06",15,IF(D27="op-02",4.31,IF(D27="op-01",6.89))))))</f>
        <v>12.03</v>
      </c>
      <c r="G27" s="25">
        <f>E27*F27</f>
        <v>0.24059999999999998</v>
      </c>
      <c r="H27" s="1"/>
      <c r="I27" s="95"/>
      <c r="J27" s="5"/>
    </row>
    <row r="28" spans="1:10" ht="15.75">
      <c r="A28" s="174" t="s">
        <v>728</v>
      </c>
      <c r="B28" s="24"/>
      <c r="C28" s="2" t="s">
        <v>287</v>
      </c>
      <c r="D28" s="24" t="s">
        <v>729</v>
      </c>
      <c r="E28" s="3">
        <v>0.38</v>
      </c>
      <c r="F28" s="14">
        <f>IF(D28="ag-01",0.12,IF(D28="ad-01",0.6,IF(D28="ar-03",12.03,IF(D28="ar-06",15,IF(D28="op-02",4.31,IF(D28="op-01",6.89))))))</f>
        <v>0.6</v>
      </c>
      <c r="G28" s="25">
        <f>E28*F28</f>
        <v>0.22799999999999998</v>
      </c>
      <c r="H28" s="1"/>
      <c r="I28" s="95"/>
      <c r="J28" s="5"/>
    </row>
    <row r="29" spans="1:10" ht="15.75">
      <c r="A29" s="174" t="s">
        <v>289</v>
      </c>
      <c r="B29" s="24"/>
      <c r="C29" s="2" t="s">
        <v>228</v>
      </c>
      <c r="D29" s="24" t="s">
        <v>290</v>
      </c>
      <c r="E29" s="3">
        <v>0.09</v>
      </c>
      <c r="F29" s="14">
        <f>+C112</f>
        <v>6.89</v>
      </c>
      <c r="G29" s="1"/>
      <c r="H29" s="25">
        <f>E29*F29</f>
        <v>0.6201</v>
      </c>
      <c r="I29" s="95"/>
      <c r="J29" s="5"/>
    </row>
    <row r="30" spans="1:10" ht="15.75">
      <c r="A30" s="174" t="s">
        <v>227</v>
      </c>
      <c r="B30" s="24"/>
      <c r="C30" s="2" t="s">
        <v>228</v>
      </c>
      <c r="D30" s="24" t="s">
        <v>229</v>
      </c>
      <c r="E30" s="3">
        <v>0.09</v>
      </c>
      <c r="F30" s="14">
        <f>+C113</f>
        <v>4.38</v>
      </c>
      <c r="G30" s="1"/>
      <c r="H30" s="25">
        <f>E30*F30</f>
        <v>0.3942</v>
      </c>
      <c r="I30" s="95"/>
      <c r="J30" s="51"/>
    </row>
    <row r="31" spans="1:10" ht="16.5" thickBot="1">
      <c r="A31" s="90"/>
      <c r="B31" s="72"/>
      <c r="C31" s="7"/>
      <c r="D31" s="28"/>
      <c r="E31" s="8"/>
      <c r="F31" s="73"/>
      <c r="G31" s="252">
        <f>SUM(G26:G28)</f>
        <v>1.4045999999999998</v>
      </c>
      <c r="H31" s="252">
        <f>SUM(H29:H30)</f>
        <v>1.0143</v>
      </c>
      <c r="I31" s="88"/>
      <c r="J31" s="11"/>
    </row>
    <row r="32" spans="1:10" ht="16.5" thickTop="1">
      <c r="A32" s="177">
        <v>8.4</v>
      </c>
      <c r="B32" s="113"/>
      <c r="C32" s="56"/>
      <c r="D32" s="69"/>
      <c r="E32" s="70"/>
      <c r="F32" s="139"/>
      <c r="G32" s="115"/>
      <c r="H32" s="115"/>
      <c r="I32" s="89"/>
      <c r="J32" s="71"/>
    </row>
    <row r="33" spans="1:10" ht="15.75">
      <c r="A33" s="173" t="s">
        <v>734</v>
      </c>
      <c r="B33" s="24"/>
      <c r="C33" s="2"/>
      <c r="D33" s="24"/>
      <c r="E33" s="3"/>
      <c r="F33" s="14"/>
      <c r="G33" s="85"/>
      <c r="H33" s="85"/>
      <c r="I33" s="95"/>
      <c r="J33" s="5"/>
    </row>
    <row r="34" spans="1:10" ht="15.75">
      <c r="A34" s="173" t="s">
        <v>735</v>
      </c>
      <c r="B34" s="24"/>
      <c r="C34" s="2"/>
      <c r="D34" s="24"/>
      <c r="E34" s="3"/>
      <c r="F34" s="14"/>
      <c r="G34" s="85"/>
      <c r="H34" s="85"/>
      <c r="I34" s="95"/>
      <c r="J34" s="5"/>
    </row>
    <row r="35" spans="1:10" ht="15.75">
      <c r="A35" s="173" t="s">
        <v>736</v>
      </c>
      <c r="B35" s="24"/>
      <c r="C35" s="2"/>
      <c r="D35" s="24"/>
      <c r="E35" s="3"/>
      <c r="F35" s="14"/>
      <c r="G35" s="85"/>
      <c r="H35" s="85"/>
      <c r="I35" s="95"/>
      <c r="J35" s="71"/>
    </row>
    <row r="36" spans="1:10" s="1" customFormat="1" ht="15.75">
      <c r="A36" s="172" t="s">
        <v>737</v>
      </c>
      <c r="B36" s="24" t="s">
        <v>387</v>
      </c>
      <c r="C36" s="2" t="s">
        <v>287</v>
      </c>
      <c r="D36" s="24" t="s">
        <v>355</v>
      </c>
      <c r="E36" s="3">
        <v>4.2</v>
      </c>
      <c r="F36" s="14">
        <f>IF(D36="ag-01",0.12,IF(D36="ad-01",0.6,IF(D36="ar-03",12.03,IF(D36="ar-06",15,IF(D36="op-02",4.31,IF(D36="op-01",6.89))))))</f>
        <v>0.12</v>
      </c>
      <c r="G36" s="25">
        <f>E36*F36</f>
        <v>0.504</v>
      </c>
      <c r="I36" s="95">
        <f>SUM(G41,H41)</f>
        <v>2.9924</v>
      </c>
      <c r="J36" s="5"/>
    </row>
    <row r="37" spans="1:10" ht="15.75">
      <c r="A37" s="174" t="s">
        <v>559</v>
      </c>
      <c r="B37" s="24"/>
      <c r="C37" s="2" t="s">
        <v>357</v>
      </c>
      <c r="D37" s="24" t="s">
        <v>560</v>
      </c>
      <c r="E37" s="3">
        <v>0.01</v>
      </c>
      <c r="F37" s="14">
        <f>IF(D37="ag-01",0.12,IF(D37="ad-01",0.6,IF(D37="ar-03",12.03,IF(D37="ar-06",15,IF(D37="op-02",4.31,IF(D37="op-01",6.89))))))</f>
        <v>12.03</v>
      </c>
      <c r="G37" s="25">
        <f>E37*F37</f>
        <v>0.12029999999999999</v>
      </c>
      <c r="H37" s="1"/>
      <c r="I37" s="95"/>
      <c r="J37" s="5"/>
    </row>
    <row r="38" spans="1:10" ht="15.75">
      <c r="A38" s="174" t="s">
        <v>728</v>
      </c>
      <c r="B38" s="24"/>
      <c r="C38" s="2" t="s">
        <v>287</v>
      </c>
      <c r="D38" s="24" t="s">
        <v>729</v>
      </c>
      <c r="E38" s="3">
        <v>0.2</v>
      </c>
      <c r="F38" s="14">
        <f>IF(D38="ag-01",0.12,IF(D38="ad-01",0.6,IF(D38="ar-03",12.03,IF(D38="ar-06",15,IF(D38="op-02",4.31,IF(D38="op-01",6.89))))))</f>
        <v>0.6</v>
      </c>
      <c r="G38" s="25">
        <f>E38*F38</f>
        <v>0.12</v>
      </c>
      <c r="H38" s="1"/>
      <c r="I38" s="95"/>
      <c r="J38" s="5"/>
    </row>
    <row r="39" spans="1:10" ht="15.75">
      <c r="A39" s="174" t="s">
        <v>289</v>
      </c>
      <c r="B39" s="24"/>
      <c r="C39" s="2" t="s">
        <v>228</v>
      </c>
      <c r="D39" s="24" t="s">
        <v>290</v>
      </c>
      <c r="E39" s="3">
        <v>0.25</v>
      </c>
      <c r="F39" s="14">
        <f>+C112</f>
        <v>6.89</v>
      </c>
      <c r="G39" s="1"/>
      <c r="H39" s="25">
        <f>E39*F39</f>
        <v>1.7225</v>
      </c>
      <c r="I39" s="95"/>
      <c r="J39" s="5"/>
    </row>
    <row r="40" spans="1:10" ht="15.75">
      <c r="A40" s="174" t="s">
        <v>227</v>
      </c>
      <c r="B40" s="24"/>
      <c r="C40" s="2" t="s">
        <v>228</v>
      </c>
      <c r="D40" s="24" t="s">
        <v>229</v>
      </c>
      <c r="E40" s="3">
        <v>0.12</v>
      </c>
      <c r="F40" s="14">
        <f>+C113</f>
        <v>4.38</v>
      </c>
      <c r="G40" s="1"/>
      <c r="H40" s="25">
        <f>E40*F40</f>
        <v>0.5256</v>
      </c>
      <c r="I40" s="95"/>
      <c r="J40" s="5"/>
    </row>
    <row r="41" spans="1:10" ht="15.75">
      <c r="A41" s="174"/>
      <c r="B41" s="24"/>
      <c r="C41" s="2"/>
      <c r="D41" s="24"/>
      <c r="E41" s="3"/>
      <c r="F41" s="14"/>
      <c r="G41" s="254">
        <f>SUM(G36:G38)</f>
        <v>0.7443</v>
      </c>
      <c r="H41" s="85">
        <f>SUM(H39:H40)</f>
        <v>2.2481</v>
      </c>
      <c r="I41" s="95"/>
      <c r="J41" s="5"/>
    </row>
    <row r="42" spans="1:10" ht="15.75">
      <c r="A42" s="174"/>
      <c r="B42" s="24"/>
      <c r="C42" s="2"/>
      <c r="D42" s="24"/>
      <c r="E42" s="3"/>
      <c r="F42" s="14"/>
      <c r="G42" s="85"/>
      <c r="H42" s="85"/>
      <c r="I42" s="95"/>
      <c r="J42" s="5"/>
    </row>
    <row r="43" spans="1:10" ht="15.75">
      <c r="A43" s="173" t="s">
        <v>738</v>
      </c>
      <c r="B43" s="24"/>
      <c r="C43" s="2"/>
      <c r="D43" s="24"/>
      <c r="E43" s="3"/>
      <c r="F43" s="14"/>
      <c r="G43" s="85"/>
      <c r="H43" s="85"/>
      <c r="I43" s="95"/>
      <c r="J43" s="5"/>
    </row>
    <row r="44" spans="1:10" ht="15.75">
      <c r="A44" s="173" t="s">
        <v>739</v>
      </c>
      <c r="B44" s="24"/>
      <c r="C44" s="2"/>
      <c r="D44" s="24"/>
      <c r="E44" s="3"/>
      <c r="F44" s="14"/>
      <c r="G44" s="85"/>
      <c r="H44" s="85"/>
      <c r="I44" s="95"/>
      <c r="J44" s="5"/>
    </row>
    <row r="45" spans="1:10" ht="15.75">
      <c r="A45" s="174" t="s">
        <v>624</v>
      </c>
      <c r="B45" s="24" t="s">
        <v>389</v>
      </c>
      <c r="C45" s="2" t="s">
        <v>287</v>
      </c>
      <c r="D45" s="2" t="s">
        <v>355</v>
      </c>
      <c r="E45" s="3">
        <v>4.2</v>
      </c>
      <c r="F45" s="14">
        <f>IF(D45="ag-01",0.12,IF(D45="ad-01",0.6,IF(D45="ar-03",12.03,IF(D45="ar-06",15,IF(D45="op-02",4.31,IF(D45="op-01",6.89))))))</f>
        <v>0.12</v>
      </c>
      <c r="G45" s="25">
        <f>E45*F45</f>
        <v>0.504</v>
      </c>
      <c r="H45" s="1"/>
      <c r="I45" s="95">
        <f>SUM(G51,H51)</f>
        <v>4.0968</v>
      </c>
      <c r="J45" s="5"/>
    </row>
    <row r="46" spans="1:10" ht="15.75">
      <c r="A46" s="174" t="s">
        <v>559</v>
      </c>
      <c r="B46" s="24"/>
      <c r="C46" s="2" t="s">
        <v>357</v>
      </c>
      <c r="D46" s="2" t="s">
        <v>560</v>
      </c>
      <c r="E46" s="3">
        <v>0.01</v>
      </c>
      <c r="F46" s="14">
        <f>IF(D46="ag-01",0.12,IF(D46="ad-01",0.6,IF(D46="ar-03",12.03,IF(D46="ar-06",15,IF(D46="op-02",4.31,IF(D46="op-01",6.89))))))</f>
        <v>12.03</v>
      </c>
      <c r="G46" s="25">
        <f>E46*F46</f>
        <v>0.12029999999999999</v>
      </c>
      <c r="H46" s="1"/>
      <c r="I46" s="95"/>
      <c r="J46" s="5"/>
    </row>
    <row r="47" spans="1:10" ht="15.75">
      <c r="A47" s="174" t="s">
        <v>728</v>
      </c>
      <c r="B47" s="24"/>
      <c r="C47" s="2" t="s">
        <v>287</v>
      </c>
      <c r="D47" s="2" t="s">
        <v>729</v>
      </c>
      <c r="E47" s="3">
        <v>0.2</v>
      </c>
      <c r="F47" s="14">
        <f>IF(D47="ag-01",0.12,IF(D47="ad-01",0.6,IF(D47="ar-03",12.03,IF(D47="as-02",0.71,IF(D47="op-02",4.31,IF(D47="op-01",6.89,IF(D47="ag-02",0.09,IF(D47="ld-01",0.12))))))))</f>
        <v>0.6</v>
      </c>
      <c r="G47" s="25">
        <f>E47*F47</f>
        <v>0.12</v>
      </c>
      <c r="H47" s="1"/>
      <c r="I47" s="95"/>
      <c r="J47" s="5"/>
    </row>
    <row r="48" spans="1:10" ht="15.75">
      <c r="A48" s="174" t="s">
        <v>740</v>
      </c>
      <c r="B48" s="24"/>
      <c r="C48" s="2" t="s">
        <v>287</v>
      </c>
      <c r="D48" s="2" t="s">
        <v>741</v>
      </c>
      <c r="E48" s="3">
        <v>0.4</v>
      </c>
      <c r="F48" s="14">
        <f>IF(D48="ag-01",0.12,IF(D48="ad-01",0.6,IF(D48="ar-03",12.03,IF(D48="as-02",0.71,IF(D48="op-02",4.31,IF(D48="op-01",6.89))))))</f>
        <v>0.71</v>
      </c>
      <c r="G48" s="25">
        <f>E48*F48</f>
        <v>0.284</v>
      </c>
      <c r="H48" s="1"/>
      <c r="I48" s="95"/>
      <c r="J48" s="5"/>
    </row>
    <row r="49" spans="1:10" ht="15.75">
      <c r="A49" s="174" t="s">
        <v>289</v>
      </c>
      <c r="B49" s="24"/>
      <c r="C49" s="2" t="s">
        <v>228</v>
      </c>
      <c r="D49" s="2" t="s">
        <v>290</v>
      </c>
      <c r="E49" s="3">
        <v>0.35</v>
      </c>
      <c r="F49" s="14">
        <f>+C112</f>
        <v>6.89</v>
      </c>
      <c r="G49" s="1"/>
      <c r="H49" s="25">
        <f>E49*F49</f>
        <v>2.4114999999999998</v>
      </c>
      <c r="I49" s="95"/>
      <c r="J49" s="5"/>
    </row>
    <row r="50" spans="1:10" ht="15.75">
      <c r="A50" s="174" t="s">
        <v>227</v>
      </c>
      <c r="B50" s="24"/>
      <c r="C50" s="2" t="s">
        <v>228</v>
      </c>
      <c r="D50" s="2" t="s">
        <v>229</v>
      </c>
      <c r="E50" s="3">
        <v>0.15</v>
      </c>
      <c r="F50" s="14">
        <f>+C113</f>
        <v>4.38</v>
      </c>
      <c r="G50" s="1"/>
      <c r="H50" s="25">
        <f>E50*F50</f>
        <v>0.6569999999999999</v>
      </c>
      <c r="I50" s="95"/>
      <c r="J50" s="51"/>
    </row>
    <row r="51" spans="1:10" ht="16.5" thickBot="1">
      <c r="A51" s="90"/>
      <c r="B51" s="28"/>
      <c r="C51" s="7"/>
      <c r="D51" s="7"/>
      <c r="E51" s="8"/>
      <c r="F51" s="10"/>
      <c r="G51" s="252">
        <f>SUM(G45:G48)</f>
        <v>1.0283</v>
      </c>
      <c r="H51" s="252">
        <f>SUM(H49:H50)</f>
        <v>3.0685</v>
      </c>
      <c r="I51" s="88"/>
      <c r="J51" s="11"/>
    </row>
    <row r="52" spans="1:10" ht="16.5" thickTop="1">
      <c r="A52" s="122">
        <v>8.5</v>
      </c>
      <c r="B52" s="69"/>
      <c r="C52" s="56"/>
      <c r="D52" s="56"/>
      <c r="E52" s="70"/>
      <c r="F52" s="48"/>
      <c r="G52" s="115"/>
      <c r="H52" s="115"/>
      <c r="I52" s="89"/>
      <c r="J52" s="71"/>
    </row>
    <row r="53" spans="1:10" ht="15.75">
      <c r="A53" s="123" t="s">
        <v>734</v>
      </c>
      <c r="B53" s="24"/>
      <c r="C53" s="2"/>
      <c r="D53" s="2"/>
      <c r="E53" s="3"/>
      <c r="F53" s="14"/>
      <c r="G53" s="85"/>
      <c r="H53" s="85"/>
      <c r="I53" s="95"/>
      <c r="J53" s="5"/>
    </row>
    <row r="54" spans="1:10" ht="15.75">
      <c r="A54" s="123" t="s">
        <v>735</v>
      </c>
      <c r="B54" s="24"/>
      <c r="C54" s="2"/>
      <c r="D54" s="2"/>
      <c r="E54" s="3"/>
      <c r="F54" s="14"/>
      <c r="G54" s="85"/>
      <c r="H54" s="85"/>
      <c r="I54" s="95"/>
      <c r="J54" s="5"/>
    </row>
    <row r="55" spans="1:10" ht="15.75">
      <c r="A55" s="123" t="s">
        <v>742</v>
      </c>
      <c r="B55" s="24"/>
      <c r="C55" s="2"/>
      <c r="D55" s="2"/>
      <c r="E55" s="3"/>
      <c r="F55" s="14"/>
      <c r="G55" s="85"/>
      <c r="H55" s="85"/>
      <c r="I55" s="95"/>
      <c r="J55" s="5"/>
    </row>
    <row r="56" spans="1:10" ht="15.75">
      <c r="A56" s="173" t="s">
        <v>743</v>
      </c>
      <c r="B56" s="24"/>
      <c r="C56" s="2"/>
      <c r="D56" s="2"/>
      <c r="E56" s="3"/>
      <c r="F56" s="14"/>
      <c r="G56" s="85"/>
      <c r="H56" s="85"/>
      <c r="I56" s="95"/>
      <c r="J56" s="5"/>
    </row>
    <row r="57" spans="1:10" s="1" customFormat="1" ht="15.75">
      <c r="A57" s="174" t="s">
        <v>624</v>
      </c>
      <c r="B57" s="24" t="s">
        <v>387</v>
      </c>
      <c r="C57" s="2" t="s">
        <v>287</v>
      </c>
      <c r="D57" s="24" t="s">
        <v>355</v>
      </c>
      <c r="E57" s="3">
        <v>6.26</v>
      </c>
      <c r="F57" s="14">
        <f>IF(D57="ag-01",0.12,IF(D57="ad-01",0.6,IF(D57="ar-03",12.03,IF(D57="as-02",0.71,IF(D57="op-02",4.31,IF(D57="op-01",6.89))))))</f>
        <v>0.12</v>
      </c>
      <c r="G57" s="25">
        <f>E57*F57</f>
        <v>0.7512</v>
      </c>
      <c r="I57" s="95">
        <f>SUM(G62,H62)</f>
        <v>3.37778</v>
      </c>
      <c r="J57" s="5"/>
    </row>
    <row r="58" spans="1:10" ht="15.75">
      <c r="A58" s="174" t="s">
        <v>559</v>
      </c>
      <c r="B58" s="24"/>
      <c r="C58" s="2" t="s">
        <v>357</v>
      </c>
      <c r="D58" s="24" t="s">
        <v>560</v>
      </c>
      <c r="E58" s="3">
        <v>0.016</v>
      </c>
      <c r="F58" s="14">
        <f>IF(D58="ag-01",0.12,IF(D58="ad-01",0.6,IF(D58="ar-03",12.03,IF(D58="as-02",0.71,IF(D58="op-02",4.31,IF(D58="op-01",6.89))))))</f>
        <v>12.03</v>
      </c>
      <c r="G58" s="25">
        <f>E58*F58</f>
        <v>0.19247999999999998</v>
      </c>
      <c r="H58" s="1"/>
      <c r="I58" s="95"/>
      <c r="J58" s="5"/>
    </row>
    <row r="59" spans="1:10" ht="15.75">
      <c r="A59" s="174" t="s">
        <v>728</v>
      </c>
      <c r="B59" s="24"/>
      <c r="C59" s="2" t="s">
        <v>287</v>
      </c>
      <c r="D59" s="24" t="s">
        <v>729</v>
      </c>
      <c r="E59" s="3">
        <v>0.31</v>
      </c>
      <c r="F59" s="14">
        <f>IF(D59="ag-01",0.12,IF(D59="ad-01",0.6,IF(D59="ar-03",12.03,IF(D59="as-02",0.71,IF(D59="op-02",4.31,IF(D59="op-01",6.89))))))</f>
        <v>0.6</v>
      </c>
      <c r="G59" s="25">
        <f>E59*F59</f>
        <v>0.186</v>
      </c>
      <c r="H59" s="1"/>
      <c r="I59" s="95"/>
      <c r="J59" s="5"/>
    </row>
    <row r="60" spans="1:10" ht="15.75">
      <c r="A60" s="174" t="s">
        <v>289</v>
      </c>
      <c r="B60" s="24"/>
      <c r="C60" s="2" t="s">
        <v>228</v>
      </c>
      <c r="D60" s="24" t="s">
        <v>290</v>
      </c>
      <c r="E60" s="3">
        <v>0.25</v>
      </c>
      <c r="F60" s="14">
        <f>+C112</f>
        <v>6.89</v>
      </c>
      <c r="G60" s="1"/>
      <c r="H60" s="25">
        <f>E60*F60</f>
        <v>1.7225</v>
      </c>
      <c r="I60" s="95"/>
      <c r="J60" s="5"/>
    </row>
    <row r="61" spans="1:10" ht="15.75">
      <c r="A61" s="174" t="s">
        <v>227</v>
      </c>
      <c r="B61" s="24"/>
      <c r="C61" s="2" t="s">
        <v>228</v>
      </c>
      <c r="D61" s="24" t="s">
        <v>229</v>
      </c>
      <c r="E61" s="3">
        <v>0.12</v>
      </c>
      <c r="F61" s="14">
        <f>+C113</f>
        <v>4.38</v>
      </c>
      <c r="G61" s="1"/>
      <c r="H61" s="25">
        <f>E61*F61</f>
        <v>0.5256</v>
      </c>
      <c r="I61" s="95"/>
      <c r="J61" s="5"/>
    </row>
    <row r="62" spans="1:10" ht="15.75">
      <c r="A62" s="174"/>
      <c r="B62" s="24"/>
      <c r="C62" s="2"/>
      <c r="D62" s="24"/>
      <c r="E62" s="3"/>
      <c r="F62" s="14"/>
      <c r="G62" s="254">
        <f>SUM(G57:G59)</f>
        <v>1.12968</v>
      </c>
      <c r="H62" s="85">
        <f>SUM(H60:H61)</f>
        <v>2.2481</v>
      </c>
      <c r="I62" s="95"/>
      <c r="J62" s="5"/>
    </row>
    <row r="63" spans="1:10" ht="15.75">
      <c r="A63" s="173" t="s">
        <v>738</v>
      </c>
      <c r="B63" s="24"/>
      <c r="C63" s="2"/>
      <c r="D63" s="24"/>
      <c r="E63" s="3"/>
      <c r="F63" s="14"/>
      <c r="G63" s="85"/>
      <c r="H63" s="85"/>
      <c r="I63" s="95"/>
      <c r="J63" s="5"/>
    </row>
    <row r="64" spans="1:10" ht="15.75">
      <c r="A64" s="173" t="s">
        <v>739</v>
      </c>
      <c r="B64" s="24"/>
      <c r="C64" s="2"/>
      <c r="D64" s="24"/>
      <c r="E64" s="3"/>
      <c r="F64" s="14"/>
      <c r="G64" s="85"/>
      <c r="H64" s="85"/>
      <c r="I64" s="95"/>
      <c r="J64" s="5"/>
    </row>
    <row r="65" spans="1:10" ht="15.75">
      <c r="A65" s="174" t="s">
        <v>624</v>
      </c>
      <c r="B65" s="24" t="s">
        <v>389</v>
      </c>
      <c r="C65" s="2" t="s">
        <v>287</v>
      </c>
      <c r="D65" s="2" t="s">
        <v>355</v>
      </c>
      <c r="E65" s="3">
        <v>6.26</v>
      </c>
      <c r="F65" s="14">
        <f>IF(D65="ag-01",0.12,IF(D65="ad-01",0.6,IF(D65="ar-03",12.03,IF(D65="as-02",0.71,IF(D65="op-02",4.31,IF(D65="op-01",6.89))))))</f>
        <v>0.12</v>
      </c>
      <c r="G65" s="25">
        <f>E65*F65</f>
        <v>0.7512</v>
      </c>
      <c r="H65" s="1"/>
      <c r="I65" s="95">
        <f>SUM(G71,H71)</f>
        <v>4.51768</v>
      </c>
      <c r="J65" s="5"/>
    </row>
    <row r="66" spans="1:10" ht="15.75">
      <c r="A66" s="174" t="s">
        <v>559</v>
      </c>
      <c r="B66" s="24"/>
      <c r="C66" s="2" t="s">
        <v>357</v>
      </c>
      <c r="D66" s="2" t="s">
        <v>560</v>
      </c>
      <c r="E66" s="3">
        <v>0.016</v>
      </c>
      <c r="F66" s="14">
        <f>IF(D66="ag-01",0.12,IF(D66="ad-01",0.6,IF(D66="ar-03",12.03,IF(D66="as-02",0.71,IF(D66="op-02",4.31,IF(D66="op-01",6.89))))))</f>
        <v>12.03</v>
      </c>
      <c r="G66" s="25">
        <f>E66*F66</f>
        <v>0.19247999999999998</v>
      </c>
      <c r="H66" s="1"/>
      <c r="I66" s="95"/>
      <c r="J66" s="5"/>
    </row>
    <row r="67" spans="1:10" ht="15.75">
      <c r="A67" s="174" t="s">
        <v>728</v>
      </c>
      <c r="B67" s="24"/>
      <c r="C67" s="2" t="s">
        <v>287</v>
      </c>
      <c r="D67" s="2" t="s">
        <v>729</v>
      </c>
      <c r="E67" s="3">
        <v>0.31</v>
      </c>
      <c r="F67" s="14">
        <f>IF(D67="ag-01",0.12,IF(D67="ad-01",0.6,IF(D67="ar-03",12.03,IF(D67="as-02",0.71,IF(D67="op-02",4.31,IF(D67="op-01",6.89))))))</f>
        <v>0.6</v>
      </c>
      <c r="G67" s="25">
        <f>E67*F67</f>
        <v>0.186</v>
      </c>
      <c r="H67" s="1"/>
      <c r="I67" s="95"/>
      <c r="J67" s="5"/>
    </row>
    <row r="68" spans="1:10" ht="15.75">
      <c r="A68" s="174" t="s">
        <v>740</v>
      </c>
      <c r="B68" s="24"/>
      <c r="C68" s="2" t="s">
        <v>287</v>
      </c>
      <c r="D68" s="2" t="s">
        <v>741</v>
      </c>
      <c r="E68" s="3">
        <v>0.45</v>
      </c>
      <c r="F68" s="14">
        <f>IF(D68="ag-01",0.12,IF(D68="ad-01",0.6,IF(D68="ar-03",12.03,IF(D68="as-02",0.71,IF(D68="op-02",4.31,IF(D68="op-01",6.89))))))</f>
        <v>0.71</v>
      </c>
      <c r="G68" s="25">
        <f>E68*F68</f>
        <v>0.3195</v>
      </c>
      <c r="H68" s="1"/>
      <c r="I68" s="95"/>
      <c r="J68" s="5"/>
    </row>
    <row r="69" spans="1:10" ht="15.75">
      <c r="A69" s="174" t="s">
        <v>289</v>
      </c>
      <c r="B69" s="24"/>
      <c r="C69" s="2" t="s">
        <v>228</v>
      </c>
      <c r="D69" s="2" t="s">
        <v>290</v>
      </c>
      <c r="E69" s="3">
        <v>0.35</v>
      </c>
      <c r="F69" s="14">
        <f>+C112</f>
        <v>6.89</v>
      </c>
      <c r="G69" s="1"/>
      <c r="H69" s="25">
        <f>E69*F69</f>
        <v>2.4114999999999998</v>
      </c>
      <c r="I69" s="95"/>
      <c r="J69" s="5"/>
    </row>
    <row r="70" spans="1:10" ht="15.75">
      <c r="A70" s="174" t="s">
        <v>227</v>
      </c>
      <c r="B70" s="24"/>
      <c r="C70" s="2" t="s">
        <v>228</v>
      </c>
      <c r="D70" s="2" t="s">
        <v>229</v>
      </c>
      <c r="E70" s="3">
        <v>0.15</v>
      </c>
      <c r="F70" s="14">
        <f>+C113</f>
        <v>4.38</v>
      </c>
      <c r="G70" s="1"/>
      <c r="H70" s="25">
        <f>E70*F70</f>
        <v>0.6569999999999999</v>
      </c>
      <c r="I70" s="95"/>
      <c r="J70" s="5"/>
    </row>
    <row r="71" spans="1:10" s="108" customFormat="1" ht="16.5" thickBot="1">
      <c r="A71" s="90"/>
      <c r="B71" s="28"/>
      <c r="C71" s="7"/>
      <c r="D71" s="7"/>
      <c r="E71" s="8"/>
      <c r="F71" s="10"/>
      <c r="G71" s="252">
        <f>SUM(G65:G68)</f>
        <v>1.4491800000000001</v>
      </c>
      <c r="H71" s="252">
        <f>SUM(H69:H70)</f>
        <v>3.0685</v>
      </c>
      <c r="I71" s="88"/>
      <c r="J71" s="11"/>
    </row>
    <row r="72" spans="1:10" ht="16.5" thickTop="1">
      <c r="A72" s="171">
        <v>8.6</v>
      </c>
      <c r="B72" s="69"/>
      <c r="C72" s="56"/>
      <c r="D72" s="56"/>
      <c r="E72" s="70"/>
      <c r="F72" s="48"/>
      <c r="G72" s="115"/>
      <c r="H72" s="115"/>
      <c r="I72" s="89"/>
      <c r="J72" s="71"/>
    </row>
    <row r="73" spans="1:10" ht="15.75">
      <c r="A73" s="173" t="s">
        <v>744</v>
      </c>
      <c r="B73" s="24"/>
      <c r="C73" s="2"/>
      <c r="D73" s="2"/>
      <c r="E73" s="3"/>
      <c r="F73" s="14"/>
      <c r="G73" s="85"/>
      <c r="H73" s="85"/>
      <c r="I73" s="95"/>
      <c r="J73" s="5"/>
    </row>
    <row r="74" spans="1:10" ht="15.75">
      <c r="A74" s="173" t="s">
        <v>745</v>
      </c>
      <c r="B74" s="24"/>
      <c r="C74" s="2"/>
      <c r="D74" s="2"/>
      <c r="E74" s="3"/>
      <c r="F74" s="14"/>
      <c r="G74" s="85"/>
      <c r="H74" s="85"/>
      <c r="I74" s="95"/>
      <c r="J74" s="5"/>
    </row>
    <row r="75" spans="1:10" ht="15.75">
      <c r="A75" s="173" t="s">
        <v>746</v>
      </c>
      <c r="B75" s="24"/>
      <c r="C75" s="2"/>
      <c r="D75" s="2"/>
      <c r="E75" s="3"/>
      <c r="F75" s="14"/>
      <c r="G75" s="85"/>
      <c r="H75" s="85"/>
      <c r="I75" s="95"/>
      <c r="J75" s="5"/>
    </row>
    <row r="76" spans="1:10" s="1" customFormat="1" ht="15.75">
      <c r="A76" s="172" t="s">
        <v>747</v>
      </c>
      <c r="B76" s="24"/>
      <c r="C76" s="2" t="s">
        <v>287</v>
      </c>
      <c r="D76" s="2" t="s">
        <v>355</v>
      </c>
      <c r="E76" s="3">
        <v>9.92</v>
      </c>
      <c r="F76" s="14">
        <f aca="true" t="shared" si="0" ref="F76:F81">IF(D76="ag-01",0.12,IF(D76="ad-01",0.6,IF(D76="ar-03",12.03,IF(D76="as-02",0.71,IF(D76="op-02",4.31,IF(D76="op-01",6.89,IF(D76="ag-02",0.09,IF(D76="ld-01",0.12))))))))</f>
        <v>0.12</v>
      </c>
      <c r="G76" s="25">
        <f aca="true" t="shared" si="1" ref="G76:G81">E76*F76</f>
        <v>1.1904</v>
      </c>
      <c r="I76" s="95">
        <f>SUM(G76:G81,H82:H83)</f>
        <v>17.8188</v>
      </c>
      <c r="J76" s="5"/>
    </row>
    <row r="77" spans="1:10" ht="15.75">
      <c r="A77" s="174" t="s">
        <v>557</v>
      </c>
      <c r="B77" s="24"/>
      <c r="C77" s="2" t="s">
        <v>287</v>
      </c>
      <c r="D77" s="2" t="s">
        <v>377</v>
      </c>
      <c r="E77" s="3">
        <v>2.35</v>
      </c>
      <c r="F77" s="14">
        <f t="shared" si="0"/>
        <v>0.09</v>
      </c>
      <c r="G77" s="25">
        <f t="shared" si="1"/>
        <v>0.2115</v>
      </c>
      <c r="H77" s="1"/>
      <c r="I77" s="95"/>
      <c r="J77" s="5"/>
    </row>
    <row r="78" spans="1:10" ht="15.75">
      <c r="A78" s="174" t="s">
        <v>559</v>
      </c>
      <c r="B78" s="24"/>
      <c r="C78" s="2" t="s">
        <v>357</v>
      </c>
      <c r="D78" s="2" t="s">
        <v>560</v>
      </c>
      <c r="E78" s="3">
        <v>0.03</v>
      </c>
      <c r="F78" s="14">
        <f t="shared" si="0"/>
        <v>12.03</v>
      </c>
      <c r="G78" s="25">
        <f t="shared" si="1"/>
        <v>0.36089999999999994</v>
      </c>
      <c r="H78" s="1"/>
      <c r="I78" s="95"/>
      <c r="J78" s="5"/>
    </row>
    <row r="79" spans="1:10" ht="15.75">
      <c r="A79" s="174" t="s">
        <v>728</v>
      </c>
      <c r="B79" s="24"/>
      <c r="C79" s="2" t="s">
        <v>287</v>
      </c>
      <c r="D79" s="2" t="s">
        <v>729</v>
      </c>
      <c r="E79" s="3">
        <v>0.38</v>
      </c>
      <c r="F79" s="14">
        <f t="shared" si="0"/>
        <v>0.6</v>
      </c>
      <c r="G79" s="25">
        <f t="shared" si="1"/>
        <v>0.22799999999999998</v>
      </c>
      <c r="H79" s="1"/>
      <c r="I79" s="95"/>
      <c r="J79" s="5"/>
    </row>
    <row r="80" spans="1:10" ht="15.75">
      <c r="A80" s="174" t="s">
        <v>625</v>
      </c>
      <c r="B80" s="24"/>
      <c r="C80" s="2" t="s">
        <v>574</v>
      </c>
      <c r="D80" s="2" t="s">
        <v>626</v>
      </c>
      <c r="E80" s="3">
        <v>28</v>
      </c>
      <c r="F80" s="14">
        <f t="shared" si="0"/>
        <v>0.12</v>
      </c>
      <c r="G80" s="25">
        <f t="shared" si="1"/>
        <v>3.36</v>
      </c>
      <c r="H80" s="1"/>
      <c r="I80" s="95"/>
      <c r="J80" s="5"/>
    </row>
    <row r="81" spans="1:10" ht="15.75">
      <c r="A81" s="174" t="s">
        <v>740</v>
      </c>
      <c r="B81" s="24"/>
      <c r="C81" s="2" t="s">
        <v>287</v>
      </c>
      <c r="D81" s="2" t="s">
        <v>741</v>
      </c>
      <c r="E81" s="3">
        <v>0.45</v>
      </c>
      <c r="F81" s="14">
        <f t="shared" si="0"/>
        <v>0.71</v>
      </c>
      <c r="G81" s="25">
        <f t="shared" si="1"/>
        <v>0.3195</v>
      </c>
      <c r="H81" s="1"/>
      <c r="I81" s="95"/>
      <c r="J81" s="5"/>
    </row>
    <row r="82" spans="1:10" ht="15.75">
      <c r="A82" s="174" t="s">
        <v>289</v>
      </c>
      <c r="B82" s="24"/>
      <c r="C82" s="2" t="s">
        <v>228</v>
      </c>
      <c r="D82" s="2" t="s">
        <v>290</v>
      </c>
      <c r="E82" s="3">
        <v>1.35</v>
      </c>
      <c r="F82" s="14">
        <f>+C112</f>
        <v>6.89</v>
      </c>
      <c r="G82" s="1"/>
      <c r="H82" s="25">
        <f>E82*F82</f>
        <v>9.3015</v>
      </c>
      <c r="I82" s="95"/>
      <c r="J82" s="5"/>
    </row>
    <row r="83" spans="1:10" ht="15.75">
      <c r="A83" s="174" t="s">
        <v>227</v>
      </c>
      <c r="B83" s="24"/>
      <c r="C83" s="2" t="s">
        <v>228</v>
      </c>
      <c r="D83" s="2" t="s">
        <v>229</v>
      </c>
      <c r="E83" s="3">
        <v>0.65</v>
      </c>
      <c r="F83" s="14">
        <f>+C113</f>
        <v>4.38</v>
      </c>
      <c r="G83" s="1"/>
      <c r="H83" s="25">
        <f>E83*F83</f>
        <v>2.847</v>
      </c>
      <c r="I83" s="95"/>
      <c r="J83" s="5"/>
    </row>
    <row r="84" spans="1:10" ht="16.5" thickBot="1">
      <c r="A84" s="90"/>
      <c r="B84" s="72"/>
      <c r="C84" s="7"/>
      <c r="D84" s="7"/>
      <c r="E84" s="8"/>
      <c r="F84" s="73"/>
      <c r="G84" s="252">
        <f>SUM(G76:G81)</f>
        <v>5.670299999999999</v>
      </c>
      <c r="H84" s="67">
        <f>SUM(H82:H83)</f>
        <v>12.1485</v>
      </c>
      <c r="I84" s="88"/>
      <c r="J84" s="11"/>
    </row>
    <row r="85" spans="1:10" ht="16.5" thickTop="1">
      <c r="A85" s="177">
        <v>8.7</v>
      </c>
      <c r="B85" s="113"/>
      <c r="C85" s="56"/>
      <c r="D85" s="56"/>
      <c r="E85" s="70"/>
      <c r="F85" s="139"/>
      <c r="G85" s="115"/>
      <c r="H85" s="115"/>
      <c r="I85" s="89"/>
      <c r="J85" s="32"/>
    </row>
    <row r="86" spans="1:10" ht="15.75">
      <c r="A86" s="173" t="s">
        <v>748</v>
      </c>
      <c r="B86" s="24"/>
      <c r="C86" s="2"/>
      <c r="D86" s="2"/>
      <c r="E86" s="3"/>
      <c r="F86" s="14"/>
      <c r="G86" s="85"/>
      <c r="H86" s="85"/>
      <c r="I86" s="95"/>
      <c r="J86" s="32"/>
    </row>
    <row r="87" spans="1:10" ht="15.75">
      <c r="A87" s="173" t="s">
        <v>749</v>
      </c>
      <c r="B87" s="24"/>
      <c r="C87" s="2"/>
      <c r="D87" s="2"/>
      <c r="E87" s="3"/>
      <c r="F87" s="14"/>
      <c r="G87" s="85"/>
      <c r="H87" s="85"/>
      <c r="I87" s="95"/>
      <c r="J87" s="32"/>
    </row>
    <row r="88" spans="1:10" ht="15.75">
      <c r="A88" s="173" t="s">
        <v>750</v>
      </c>
      <c r="B88" s="24"/>
      <c r="C88" s="2"/>
      <c r="D88" s="2"/>
      <c r="E88" s="3"/>
      <c r="F88" s="14"/>
      <c r="G88" s="85"/>
      <c r="H88" s="85"/>
      <c r="I88" s="95"/>
      <c r="J88" s="32"/>
    </row>
    <row r="89" spans="1:10" s="1" customFormat="1" ht="15.75">
      <c r="A89" s="174" t="s">
        <v>740</v>
      </c>
      <c r="B89" s="24"/>
      <c r="C89" s="2" t="s">
        <v>287</v>
      </c>
      <c r="D89" s="2" t="s">
        <v>741</v>
      </c>
      <c r="E89" s="3">
        <v>0.45</v>
      </c>
      <c r="F89" s="14">
        <f>IF(D89="ag-01",0.12,IF(D89="ad-01",0.6,IF(D89="ar-03",12.03,IF(D89="as-02",0.71,IF(D89="op-02",4.31,IF(D89="op-01",6.89,IF(D89="ag-02",0.09,IF(D89="ld-01",0.12))))))))</f>
        <v>0.71</v>
      </c>
      <c r="G89" s="25">
        <f>E89*F89</f>
        <v>0.3195</v>
      </c>
      <c r="I89" s="95">
        <f>SUM(G89:H90)</f>
        <v>1.3529999999999998</v>
      </c>
      <c r="J89" s="5"/>
    </row>
    <row r="90" spans="1:10" s="108" customFormat="1" ht="16.5" thickBot="1">
      <c r="A90" s="90" t="s">
        <v>289</v>
      </c>
      <c r="B90" s="28"/>
      <c r="C90" s="7" t="s">
        <v>228</v>
      </c>
      <c r="D90" s="7" t="s">
        <v>290</v>
      </c>
      <c r="E90" s="8">
        <v>0.15</v>
      </c>
      <c r="F90" s="10">
        <f>+C112</f>
        <v>6.89</v>
      </c>
      <c r="G90" s="6"/>
      <c r="H90" s="170">
        <f>E90*F90</f>
        <v>1.0334999999999999</v>
      </c>
      <c r="I90" s="88"/>
      <c r="J90" s="11"/>
    </row>
    <row r="91" spans="1:10" ht="16.5" thickTop="1">
      <c r="A91" s="177">
        <v>8.8</v>
      </c>
      <c r="B91" s="69"/>
      <c r="C91" s="56"/>
      <c r="D91" s="56"/>
      <c r="E91" s="70"/>
      <c r="F91" s="84"/>
      <c r="G91" s="44"/>
      <c r="H91" s="39"/>
      <c r="I91" s="89"/>
      <c r="J91" s="32"/>
    </row>
    <row r="92" spans="1:10" ht="15.75">
      <c r="A92" s="173" t="s">
        <v>751</v>
      </c>
      <c r="B92" s="24"/>
      <c r="C92" s="2"/>
      <c r="D92" s="2"/>
      <c r="E92" s="3"/>
      <c r="F92" s="14"/>
      <c r="G92" s="1"/>
      <c r="H92" s="25"/>
      <c r="I92" s="95"/>
      <c r="J92" s="32"/>
    </row>
    <row r="93" spans="1:10" ht="15.75">
      <c r="A93" s="173" t="s">
        <v>752</v>
      </c>
      <c r="B93" s="24"/>
      <c r="C93" s="2"/>
      <c r="D93" s="2"/>
      <c r="E93" s="3"/>
      <c r="F93" s="14"/>
      <c r="G93" s="1"/>
      <c r="H93" s="25"/>
      <c r="I93" s="95"/>
      <c r="J93" s="32"/>
    </row>
    <row r="94" spans="1:10" ht="15.75">
      <c r="A94" s="173" t="s">
        <v>753</v>
      </c>
      <c r="B94" s="24"/>
      <c r="C94" s="2"/>
      <c r="D94" s="2"/>
      <c r="E94" s="3"/>
      <c r="F94" s="14"/>
      <c r="G94" s="1"/>
      <c r="H94" s="25"/>
      <c r="I94" s="95"/>
      <c r="J94" s="32"/>
    </row>
    <row r="95" spans="1:10" ht="15.75">
      <c r="A95" s="172" t="s">
        <v>754</v>
      </c>
      <c r="B95" s="24"/>
      <c r="C95" s="2"/>
      <c r="D95" s="2"/>
      <c r="E95" s="3"/>
      <c r="F95" s="14"/>
      <c r="G95" s="1"/>
      <c r="H95" s="25"/>
      <c r="I95" s="95"/>
      <c r="J95" s="71"/>
    </row>
    <row r="96" spans="1:10" s="1" customFormat="1" ht="15.75">
      <c r="A96" s="172" t="s">
        <v>755</v>
      </c>
      <c r="B96" s="24" t="s">
        <v>387</v>
      </c>
      <c r="C96" s="2" t="s">
        <v>287</v>
      </c>
      <c r="D96" s="2" t="s">
        <v>756</v>
      </c>
      <c r="E96" s="3">
        <v>26</v>
      </c>
      <c r="F96" s="14">
        <f>IF(D96="as-03",0.42,IF(D96="cb-02",0.07,IF(D96="as-02",0.71,IF(D96="op-02",4.31,IF(D96="op-01",6.89)))))</f>
        <v>0.42</v>
      </c>
      <c r="G96" s="25">
        <f>E96*F96</f>
        <v>10.92</v>
      </c>
      <c r="I96" s="95">
        <f>SUM(G101,H101)</f>
        <v>17.0606</v>
      </c>
      <c r="J96" s="5"/>
    </row>
    <row r="97" spans="1:10" ht="15.75">
      <c r="A97" s="174" t="s">
        <v>757</v>
      </c>
      <c r="B97" s="24"/>
      <c r="C97" s="2" t="s">
        <v>287</v>
      </c>
      <c r="D97" s="2" t="s">
        <v>758</v>
      </c>
      <c r="E97" s="3">
        <v>9.4</v>
      </c>
      <c r="F97" s="14">
        <f>IF(D97="as-03",0.42,IF(D97="cb-02",0.07,IF(D97="as-02",0.71,IF(D97="op-02",4.31,IF(D97="op-01",6.89)))))</f>
        <v>0.07</v>
      </c>
      <c r="G97" s="25">
        <f>E97*F97</f>
        <v>0.6580000000000001</v>
      </c>
      <c r="H97" s="1"/>
      <c r="I97" s="95"/>
      <c r="J97" s="5"/>
    </row>
    <row r="98" spans="1:10" ht="15.75">
      <c r="A98" s="174" t="s">
        <v>740</v>
      </c>
      <c r="B98" s="24"/>
      <c r="C98" s="2" t="s">
        <v>287</v>
      </c>
      <c r="D98" s="2" t="s">
        <v>741</v>
      </c>
      <c r="E98" s="3">
        <v>0.36</v>
      </c>
      <c r="F98" s="14">
        <f>IF(D98="as-03",0.42,IF(D98="cb-02",0.07,IF(D98="as-02",0.71,IF(D98="op-02",4.31,IF(D98="op-01",6.89)))))</f>
        <v>0.71</v>
      </c>
      <c r="G98" s="25">
        <f>E98*F98</f>
        <v>0.2556</v>
      </c>
      <c r="H98" s="1"/>
      <c r="I98" s="95"/>
      <c r="J98" s="5"/>
    </row>
    <row r="99" spans="1:10" ht="15.75">
      <c r="A99" s="174" t="s">
        <v>289</v>
      </c>
      <c r="B99" s="24"/>
      <c r="C99" s="2" t="s">
        <v>228</v>
      </c>
      <c r="D99" s="2" t="s">
        <v>290</v>
      </c>
      <c r="E99" s="3">
        <v>0.32</v>
      </c>
      <c r="F99" s="14">
        <f>+C112</f>
        <v>6.89</v>
      </c>
      <c r="G99" s="1"/>
      <c r="H99" s="25">
        <f>E99*F99</f>
        <v>2.2048</v>
      </c>
      <c r="I99" s="95"/>
      <c r="J99" s="5"/>
    </row>
    <row r="100" spans="1:10" ht="15.75">
      <c r="A100" s="174" t="s">
        <v>227</v>
      </c>
      <c r="B100" s="24"/>
      <c r="C100" s="2" t="s">
        <v>228</v>
      </c>
      <c r="D100" s="2" t="s">
        <v>229</v>
      </c>
      <c r="E100" s="3">
        <v>0.69</v>
      </c>
      <c r="F100" s="14">
        <f>+C113</f>
        <v>4.38</v>
      </c>
      <c r="G100" s="1"/>
      <c r="H100" s="25">
        <f>E100*F100</f>
        <v>3.0221999999999998</v>
      </c>
      <c r="I100" s="95"/>
      <c r="J100" s="5"/>
    </row>
    <row r="101" spans="1:10" ht="15.75">
      <c r="A101" s="174"/>
      <c r="B101" s="24"/>
      <c r="C101" s="2"/>
      <c r="D101" s="2"/>
      <c r="E101" s="3"/>
      <c r="F101" s="14"/>
      <c r="G101" s="254">
        <f>SUM(G96:G98)</f>
        <v>11.833599999999999</v>
      </c>
      <c r="H101" s="254">
        <f>SUM(H99:H100)</f>
        <v>5.227</v>
      </c>
      <c r="I101" s="95"/>
      <c r="J101" s="5"/>
    </row>
    <row r="102" spans="1:10" ht="15.75">
      <c r="A102" s="173" t="s">
        <v>759</v>
      </c>
      <c r="B102" s="24"/>
      <c r="C102" s="2"/>
      <c r="D102" s="2"/>
      <c r="E102" s="3"/>
      <c r="F102" s="14"/>
      <c r="G102" s="85"/>
      <c r="H102" s="85"/>
      <c r="I102" s="95"/>
      <c r="J102" s="5"/>
    </row>
    <row r="103" spans="1:10" ht="15.75">
      <c r="A103" s="172" t="s">
        <v>760</v>
      </c>
      <c r="B103" s="24" t="s">
        <v>389</v>
      </c>
      <c r="C103" s="2" t="s">
        <v>287</v>
      </c>
      <c r="D103" s="2" t="s">
        <v>756</v>
      </c>
      <c r="E103" s="3">
        <v>10.1</v>
      </c>
      <c r="F103" s="14">
        <f>IF(D103="as-03",0.42,IF(D103="cb-02",0.07,IF(D103="as-02",0.71,IF(D103="op-02",4.31,IF(D103="op-01",6.89)))))</f>
        <v>0.42</v>
      </c>
      <c r="G103" s="25">
        <f>E103*F103</f>
        <v>4.242</v>
      </c>
      <c r="H103" s="1"/>
      <c r="I103" s="95">
        <f>SUM(G108,H108)</f>
        <v>10.1721</v>
      </c>
      <c r="J103" s="5"/>
    </row>
    <row r="104" spans="1:10" ht="15.75">
      <c r="A104" s="174" t="s">
        <v>757</v>
      </c>
      <c r="B104" s="24"/>
      <c r="C104" s="2" t="s">
        <v>287</v>
      </c>
      <c r="D104" s="2" t="s">
        <v>758</v>
      </c>
      <c r="E104" s="3">
        <v>3.7</v>
      </c>
      <c r="F104" s="14">
        <f>IF(D104="as-03",0.42,IF(D104="cb-02",0.07,IF(D104="as-02",0.71,IF(D104="op-02",4.31,IF(D104="op-01",6.89)))))</f>
        <v>0.07</v>
      </c>
      <c r="G104" s="25">
        <f>E104*F104</f>
        <v>0.25900000000000006</v>
      </c>
      <c r="H104" s="1"/>
      <c r="I104" s="95"/>
      <c r="J104" s="5"/>
    </row>
    <row r="105" spans="1:10" ht="15.75">
      <c r="A105" s="174" t="s">
        <v>740</v>
      </c>
      <c r="B105" s="24"/>
      <c r="C105" s="2" t="s">
        <v>287</v>
      </c>
      <c r="D105" s="2" t="s">
        <v>741</v>
      </c>
      <c r="E105" s="3">
        <v>0.36</v>
      </c>
      <c r="F105" s="14">
        <f>IF(D105="as-03",0.42,IF(D105="cb-02",0.07,IF(D105="as-02",0.71,IF(D105="op-02",4.31,IF(D105="op-01",6.89)))))</f>
        <v>0.71</v>
      </c>
      <c r="G105" s="25">
        <f>E105*F105</f>
        <v>0.2556</v>
      </c>
      <c r="H105" s="1"/>
      <c r="I105" s="95"/>
      <c r="J105" s="5"/>
    </row>
    <row r="106" spans="1:10" ht="15.75">
      <c r="A106" s="174" t="s">
        <v>289</v>
      </c>
      <c r="B106" s="24"/>
      <c r="C106" s="2" t="s">
        <v>228</v>
      </c>
      <c r="D106" s="2" t="s">
        <v>290</v>
      </c>
      <c r="E106" s="3">
        <v>0.43</v>
      </c>
      <c r="F106" s="14">
        <f>+C112</f>
        <v>6.89</v>
      </c>
      <c r="G106" s="1"/>
      <c r="H106" s="25">
        <f>E106*F106</f>
        <v>2.9627</v>
      </c>
      <c r="I106" s="95"/>
      <c r="J106" s="5"/>
    </row>
    <row r="107" spans="1:10" ht="15.75">
      <c r="A107" s="174" t="s">
        <v>227</v>
      </c>
      <c r="B107" s="24"/>
      <c r="C107" s="2" t="s">
        <v>228</v>
      </c>
      <c r="D107" s="2" t="s">
        <v>229</v>
      </c>
      <c r="E107" s="3">
        <v>0.56</v>
      </c>
      <c r="F107" s="14">
        <f>+C113</f>
        <v>4.38</v>
      </c>
      <c r="G107" s="1"/>
      <c r="H107" s="25">
        <f>E107*F107</f>
        <v>2.4528000000000003</v>
      </c>
      <c r="I107" s="95"/>
      <c r="J107" s="51"/>
    </row>
    <row r="108" spans="1:10" ht="16.5" thickBot="1">
      <c r="A108" s="93"/>
      <c r="B108" s="34"/>
      <c r="C108" s="17"/>
      <c r="D108" s="17"/>
      <c r="E108" s="18"/>
      <c r="F108" s="16"/>
      <c r="G108" s="253">
        <f>SUM(G103:G105)</f>
        <v>4.756600000000001</v>
      </c>
      <c r="H108" s="253">
        <f>SUM(H106:H107)</f>
        <v>5.4155</v>
      </c>
      <c r="I108" s="94"/>
      <c r="J108" s="20"/>
    </row>
    <row r="109" spans="1:5" s="21" customFormat="1" ht="16.5" thickTop="1">
      <c r="A109" s="22"/>
      <c r="B109" s="40"/>
      <c r="C109" s="22"/>
      <c r="D109" s="22"/>
      <c r="E109" s="23"/>
    </row>
    <row r="110" spans="1:5" s="21" customFormat="1" ht="15.75">
      <c r="A110" s="22"/>
      <c r="B110" s="40"/>
      <c r="C110" s="22"/>
      <c r="D110" s="22"/>
      <c r="E110" s="23"/>
    </row>
    <row r="111" spans="1:5" s="21" customFormat="1" ht="15.75">
      <c r="A111" s="22"/>
      <c r="B111" s="40"/>
      <c r="C111" s="22"/>
      <c r="D111" s="22"/>
      <c r="E111" s="23"/>
    </row>
    <row r="112" spans="1:5" s="21" customFormat="1" ht="15.75">
      <c r="A112" s="22"/>
      <c r="B112" s="301" t="s">
        <v>290</v>
      </c>
      <c r="C112" s="40">
        <v>6.89</v>
      </c>
      <c r="D112" s="22"/>
      <c r="E112" s="23"/>
    </row>
    <row r="113" spans="1:5" s="21" customFormat="1" ht="15.75">
      <c r="A113" s="22"/>
      <c r="B113" s="301" t="s">
        <v>229</v>
      </c>
      <c r="C113" s="40">
        <v>4.38</v>
      </c>
      <c r="D113" s="22"/>
      <c r="E113" s="23"/>
    </row>
    <row r="114" spans="1:5" s="21" customFormat="1" ht="15.75">
      <c r="A114" s="22"/>
      <c r="B114" s="40"/>
      <c r="C114" s="22"/>
      <c r="D114" s="22"/>
      <c r="E114" s="23"/>
    </row>
    <row r="115" spans="1:5" s="21" customFormat="1" ht="15.75">
      <c r="A115" s="22"/>
      <c r="B115" s="40"/>
      <c r="C115" s="22"/>
      <c r="D115" s="22"/>
      <c r="E115" s="23"/>
    </row>
    <row r="116" spans="1:5" s="21" customFormat="1" ht="15.75">
      <c r="A116" s="22"/>
      <c r="B116" s="40"/>
      <c r="C116" s="22"/>
      <c r="D116" s="22"/>
      <c r="E116" s="23"/>
    </row>
    <row r="117" spans="1:5" s="21" customFormat="1" ht="15.75">
      <c r="A117" s="22"/>
      <c r="B117" s="40"/>
      <c r="C117" s="22"/>
      <c r="D117" s="22"/>
      <c r="E117" s="23"/>
    </row>
    <row r="118" spans="1:5" s="21" customFormat="1" ht="15.75">
      <c r="A118" s="22"/>
      <c r="B118" s="40"/>
      <c r="C118" s="22"/>
      <c r="D118" s="22"/>
      <c r="E118" s="23"/>
    </row>
    <row r="119" spans="1:5" s="21" customFormat="1" ht="15.75">
      <c r="A119" s="22"/>
      <c r="B119" s="40"/>
      <c r="C119" s="22"/>
      <c r="D119" s="22"/>
      <c r="E119" s="23"/>
    </row>
    <row r="120" spans="1:5" s="21" customFormat="1" ht="15.75">
      <c r="A120" s="22"/>
      <c r="B120" s="40"/>
      <c r="C120" s="22"/>
      <c r="D120" s="22"/>
      <c r="E120" s="23"/>
    </row>
    <row r="121" spans="1:5" s="21" customFormat="1" ht="15.75">
      <c r="A121" s="22"/>
      <c r="B121" s="40"/>
      <c r="C121" s="22"/>
      <c r="D121" s="22"/>
      <c r="E121" s="23"/>
    </row>
    <row r="122" spans="1:5" s="21" customFormat="1" ht="15.75">
      <c r="A122" s="22"/>
      <c r="B122" s="40"/>
      <c r="C122" s="22"/>
      <c r="D122" s="22"/>
      <c r="E122" s="23"/>
    </row>
    <row r="123" spans="1:5" s="21" customFormat="1" ht="15.75">
      <c r="A123" s="22"/>
      <c r="B123" s="40"/>
      <c r="C123" s="22"/>
      <c r="D123" s="22"/>
      <c r="E123" s="23"/>
    </row>
    <row r="124" spans="1:5" s="21" customFormat="1" ht="15.75">
      <c r="A124" s="22"/>
      <c r="B124" s="40"/>
      <c r="C124" s="22"/>
      <c r="D124" s="22"/>
      <c r="E124" s="23"/>
    </row>
    <row r="125" spans="1:5" s="21" customFormat="1" ht="15.75">
      <c r="A125" s="22"/>
      <c r="B125" s="40"/>
      <c r="C125" s="22"/>
      <c r="D125" s="22"/>
      <c r="E125" s="23"/>
    </row>
    <row r="126" spans="1:5" s="21" customFormat="1" ht="15.75">
      <c r="A126" s="22"/>
      <c r="B126" s="40"/>
      <c r="C126" s="22"/>
      <c r="D126" s="22"/>
      <c r="E126" s="23"/>
    </row>
    <row r="127" spans="1:5" s="21" customFormat="1" ht="15.75">
      <c r="A127" s="22"/>
      <c r="B127" s="40"/>
      <c r="C127" s="22"/>
      <c r="D127" s="22"/>
      <c r="E127" s="23"/>
    </row>
    <row r="128" spans="1:5" s="21" customFormat="1" ht="15.75">
      <c r="A128" s="22"/>
      <c r="B128" s="40"/>
      <c r="C128" s="22"/>
      <c r="D128" s="22"/>
      <c r="E128" s="23"/>
    </row>
    <row r="129" spans="1:5" s="21" customFormat="1" ht="15.75">
      <c r="A129" s="22"/>
      <c r="B129" s="40"/>
      <c r="C129" s="22"/>
      <c r="D129" s="22"/>
      <c r="E129" s="23"/>
    </row>
    <row r="130" spans="1:5" s="21" customFormat="1" ht="15.75">
      <c r="A130" s="22"/>
      <c r="B130" s="40"/>
      <c r="C130" s="22"/>
      <c r="D130" s="22"/>
      <c r="E130" s="23"/>
    </row>
    <row r="131" spans="1:5" s="21" customFormat="1" ht="15.75">
      <c r="A131" s="22"/>
      <c r="B131" s="40"/>
      <c r="C131" s="22"/>
      <c r="D131" s="22"/>
      <c r="E131" s="23"/>
    </row>
    <row r="132" spans="1:5" s="21" customFormat="1" ht="15.75">
      <c r="A132" s="22"/>
      <c r="B132" s="40"/>
      <c r="C132" s="22"/>
      <c r="D132" s="22"/>
      <c r="E132" s="23"/>
    </row>
    <row r="133" spans="1:5" s="21" customFormat="1" ht="15.75">
      <c r="A133" s="22"/>
      <c r="B133" s="40"/>
      <c r="C133" s="22"/>
      <c r="D133" s="22"/>
      <c r="E133" s="23"/>
    </row>
    <row r="134" spans="1:5" s="21" customFormat="1" ht="15.75">
      <c r="A134" s="22"/>
      <c r="B134" s="40"/>
      <c r="C134" s="22"/>
      <c r="D134" s="22"/>
      <c r="E134" s="23"/>
    </row>
    <row r="135" spans="1:5" s="21" customFormat="1" ht="15.75">
      <c r="A135" s="22"/>
      <c r="B135" s="40"/>
      <c r="C135" s="22"/>
      <c r="D135" s="22"/>
      <c r="E135" s="23"/>
    </row>
    <row r="136" spans="1:5" s="21" customFormat="1" ht="15.75">
      <c r="A136" s="22"/>
      <c r="B136" s="40"/>
      <c r="C136" s="22"/>
      <c r="D136" s="22"/>
      <c r="E136" s="23"/>
    </row>
    <row r="137" spans="1:5" s="21" customFormat="1" ht="15.75">
      <c r="A137" s="22"/>
      <c r="B137" s="40"/>
      <c r="C137" s="22"/>
      <c r="D137" s="22"/>
      <c r="E137" s="23"/>
    </row>
    <row r="138" spans="1:5" s="21" customFormat="1" ht="15.75">
      <c r="A138" s="22"/>
      <c r="B138" s="40"/>
      <c r="C138" s="22"/>
      <c r="D138" s="22"/>
      <c r="E138" s="23"/>
    </row>
    <row r="139" spans="1:5" s="21" customFormat="1" ht="15.75">
      <c r="A139" s="22"/>
      <c r="B139" s="40"/>
      <c r="C139" s="22"/>
      <c r="D139" s="22"/>
      <c r="E139" s="23"/>
    </row>
    <row r="140" spans="1:5" s="21" customFormat="1" ht="15.75">
      <c r="A140" s="22"/>
      <c r="B140" s="40"/>
      <c r="C140" s="22"/>
      <c r="D140" s="22"/>
      <c r="E140" s="23"/>
    </row>
    <row r="141" spans="1:5" s="21" customFormat="1" ht="15.75">
      <c r="A141" s="22"/>
      <c r="B141" s="40"/>
      <c r="C141" s="22"/>
      <c r="D141" s="22"/>
      <c r="E141" s="23"/>
    </row>
    <row r="142" spans="1:5" s="21" customFormat="1" ht="15.75">
      <c r="A142" s="22"/>
      <c r="B142" s="40"/>
      <c r="C142" s="22"/>
      <c r="D142" s="22"/>
      <c r="E142" s="23"/>
    </row>
    <row r="143" spans="1:5" s="21" customFormat="1" ht="15.75">
      <c r="A143" s="22"/>
      <c r="B143" s="40"/>
      <c r="C143" s="22"/>
      <c r="D143" s="22"/>
      <c r="E143" s="23"/>
    </row>
    <row r="144" spans="1:5" s="21" customFormat="1" ht="15.75">
      <c r="A144" s="22"/>
      <c r="B144" s="40"/>
      <c r="C144" s="22"/>
      <c r="D144" s="22"/>
      <c r="E144" s="23"/>
    </row>
    <row r="145" spans="1:5" s="21" customFormat="1" ht="15.75">
      <c r="A145" s="22"/>
      <c r="B145" s="40"/>
      <c r="C145" s="22"/>
      <c r="D145" s="22"/>
      <c r="E145" s="23"/>
    </row>
    <row r="146" spans="1:5" s="21" customFormat="1" ht="15.75">
      <c r="A146" s="22"/>
      <c r="B146" s="40"/>
      <c r="C146" s="22"/>
      <c r="D146" s="22"/>
      <c r="E146" s="23"/>
    </row>
    <row r="147" spans="1:5" s="21" customFormat="1" ht="15.75">
      <c r="A147" s="22"/>
      <c r="B147" s="40"/>
      <c r="C147" s="22"/>
      <c r="D147" s="22"/>
      <c r="E147" s="23"/>
    </row>
    <row r="148" spans="1:5" s="21" customFormat="1" ht="15.75">
      <c r="A148" s="22"/>
      <c r="B148" s="40"/>
      <c r="C148" s="22"/>
      <c r="D148" s="22"/>
      <c r="E148" s="23"/>
    </row>
    <row r="149" spans="1:5" s="21" customFormat="1" ht="15.75">
      <c r="A149" s="22"/>
      <c r="B149" s="40"/>
      <c r="C149" s="22"/>
      <c r="D149" s="22"/>
      <c r="E149" s="23"/>
    </row>
    <row r="150" spans="1:5" s="21" customFormat="1" ht="15.75">
      <c r="A150" s="22"/>
      <c r="B150" s="40"/>
      <c r="C150" s="22"/>
      <c r="D150" s="22"/>
      <c r="E150" s="23"/>
    </row>
    <row r="151" spans="1:5" s="21" customFormat="1" ht="15.75">
      <c r="A151" s="22"/>
      <c r="B151" s="40"/>
      <c r="C151" s="22"/>
      <c r="D151" s="22"/>
      <c r="E151" s="23"/>
    </row>
    <row r="152" spans="1:5" s="21" customFormat="1" ht="15.75">
      <c r="A152" s="22"/>
      <c r="B152" s="40"/>
      <c r="C152" s="22"/>
      <c r="D152" s="22"/>
      <c r="E152" s="23"/>
    </row>
    <row r="153" spans="1:5" s="21" customFormat="1" ht="15.75">
      <c r="A153" s="22"/>
      <c r="B153" s="40"/>
      <c r="C153" s="22"/>
      <c r="D153" s="22"/>
      <c r="E153" s="23"/>
    </row>
    <row r="154" spans="1:5" s="21" customFormat="1" ht="15.75">
      <c r="A154" s="22"/>
      <c r="B154" s="40"/>
      <c r="C154" s="22"/>
      <c r="D154" s="22"/>
      <c r="E154" s="23"/>
    </row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  <row r="276" s="21" customFormat="1" ht="12.75"/>
    <row r="277" s="21" customFormat="1" ht="12.75"/>
    <row r="278" s="21" customFormat="1" ht="12.75"/>
    <row r="279" s="21" customFormat="1" ht="12.75"/>
    <row r="280" s="21" customFormat="1" ht="12.75"/>
    <row r="281" s="21" customFormat="1" ht="12.75"/>
    <row r="282" s="21" customFormat="1" ht="12.75"/>
    <row r="283" s="21" customFormat="1" ht="12.75"/>
    <row r="284" s="21" customFormat="1" ht="12.75"/>
    <row r="285" s="21" customFormat="1" ht="12.75"/>
    <row r="286" s="21" customFormat="1" ht="12.75"/>
    <row r="287" s="21" customFormat="1" ht="12.75"/>
    <row r="288" s="21" customFormat="1" ht="12.75"/>
    <row r="289" s="21" customFormat="1" ht="12.75"/>
    <row r="290" s="21" customFormat="1" ht="12.75"/>
    <row r="291" s="21" customFormat="1" ht="12.75"/>
    <row r="292" s="21" customFormat="1" ht="12.75"/>
    <row r="293" s="21" customFormat="1" ht="12.75"/>
    <row r="294" s="21" customFormat="1" ht="12.75"/>
    <row r="295" s="21" customFormat="1" ht="12.75"/>
    <row r="296" s="21" customFormat="1" ht="12.75"/>
    <row r="297" s="21" customFormat="1" ht="12.75"/>
    <row r="298" s="21" customFormat="1" ht="12.75"/>
    <row r="299" s="21" customFormat="1" ht="12.75"/>
    <row r="300" s="21" customFormat="1" ht="12.75"/>
    <row r="301" s="21" customFormat="1" ht="12.75"/>
    <row r="302" s="21" customFormat="1" ht="12.75"/>
    <row r="303" s="21" customFormat="1" ht="12.75"/>
    <row r="304" s="21" customFormat="1" ht="12.75"/>
    <row r="305" s="21" customFormat="1" ht="12.75"/>
    <row r="306" s="21" customFormat="1" ht="12.75"/>
    <row r="307" s="21" customFormat="1" ht="12.75"/>
    <row r="308" s="21" customFormat="1" ht="12.75"/>
    <row r="309" s="21" customFormat="1" ht="12.75"/>
    <row r="310" s="21" customFormat="1" ht="12.75"/>
    <row r="311" s="21" customFormat="1" ht="12.75"/>
    <row r="312" s="21" customFormat="1" ht="12.75"/>
    <row r="313" s="21" customFormat="1" ht="12.75"/>
    <row r="314" s="21" customFormat="1" ht="12.75"/>
    <row r="315" s="21" customFormat="1" ht="12.75"/>
    <row r="316" s="21" customFormat="1" ht="12.75"/>
    <row r="317" s="21" customFormat="1" ht="12.75"/>
    <row r="318" s="21" customFormat="1" ht="12.75"/>
    <row r="319" s="21" customFormat="1" ht="12.75"/>
    <row r="320" s="21" customFormat="1" ht="12.75"/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</sheetData>
  <printOptions horizontalCentered="1" verticalCentered="1"/>
  <pageMargins left="0.037401575" right="0.037401575" top="1" bottom="1" header="0" footer="0"/>
  <pageSetup horizontalDpi="200" verticalDpi="2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2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284" sqref="C284"/>
    </sheetView>
  </sheetViews>
  <sheetFormatPr defaultColWidth="11.421875" defaultRowHeight="12.75"/>
  <cols>
    <col min="1" max="1" width="52.7109375" style="61" customWidth="1"/>
    <col min="2" max="2" width="5.28125" style="0" customWidth="1"/>
    <col min="3" max="4" width="8.140625" style="0" customWidth="1"/>
    <col min="5" max="5" width="9.57421875" style="0" customWidth="1"/>
    <col min="6" max="6" width="9.7109375" style="0" customWidth="1"/>
    <col min="7" max="7" width="10.28125" style="0" customWidth="1"/>
    <col min="8" max="8" width="9.7109375" style="0" customWidth="1"/>
    <col min="9" max="9" width="10.57421875" style="0" customWidth="1"/>
    <col min="10" max="10" width="92.28125" style="0" customWidth="1"/>
  </cols>
  <sheetData>
    <row r="1" spans="1:10" ht="17.25" thickBot="1" thickTop="1">
      <c r="A1" s="275" t="s">
        <v>761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08" customFormat="1" ht="64.5" thickBot="1" thickTop="1">
      <c r="A2" s="278" t="s">
        <v>214</v>
      </c>
      <c r="B2" s="279" t="s">
        <v>215</v>
      </c>
      <c r="C2" s="279" t="s">
        <v>216</v>
      </c>
      <c r="D2" s="280" t="s">
        <v>217</v>
      </c>
      <c r="E2" s="280" t="s">
        <v>218</v>
      </c>
      <c r="F2" s="280" t="s">
        <v>219</v>
      </c>
      <c r="G2" s="279" t="s">
        <v>220</v>
      </c>
      <c r="H2" s="280" t="s">
        <v>221</v>
      </c>
      <c r="I2" s="279" t="s">
        <v>222</v>
      </c>
      <c r="J2" s="281" t="s">
        <v>223</v>
      </c>
    </row>
    <row r="3" spans="1:10" ht="16.5" thickTop="1">
      <c r="A3" s="171">
        <v>9.1</v>
      </c>
      <c r="B3" s="124"/>
      <c r="C3" s="124"/>
      <c r="D3" s="141"/>
      <c r="E3" s="141"/>
      <c r="F3" s="141"/>
      <c r="G3" s="124"/>
      <c r="H3" s="141"/>
      <c r="I3" s="124"/>
      <c r="J3" s="169"/>
    </row>
    <row r="4" spans="1:10" s="1" customFormat="1" ht="15.75">
      <c r="A4" s="172" t="s">
        <v>762</v>
      </c>
      <c r="B4" s="125"/>
      <c r="C4" s="125"/>
      <c r="D4" s="126"/>
      <c r="E4" s="126"/>
      <c r="F4" s="126"/>
      <c r="G4" s="125"/>
      <c r="H4" s="126"/>
      <c r="I4" s="125"/>
      <c r="J4" s="152"/>
    </row>
    <row r="5" spans="1:10" s="1" customFormat="1" ht="15.75">
      <c r="A5" s="172" t="s">
        <v>763</v>
      </c>
      <c r="B5" s="125"/>
      <c r="C5" s="125"/>
      <c r="D5" s="126"/>
      <c r="E5" s="126"/>
      <c r="F5" s="126"/>
      <c r="G5" s="125"/>
      <c r="H5" s="126"/>
      <c r="I5" s="125"/>
      <c r="J5" s="152"/>
    </row>
    <row r="6" spans="1:10" s="1" customFormat="1" ht="15.75">
      <c r="A6" s="172" t="s">
        <v>764</v>
      </c>
      <c r="B6" s="125"/>
      <c r="C6" s="125"/>
      <c r="D6" s="126"/>
      <c r="E6" s="126"/>
      <c r="F6" s="126"/>
      <c r="G6" s="125"/>
      <c r="H6" s="126"/>
      <c r="I6" s="125"/>
      <c r="J6" s="152"/>
    </row>
    <row r="7" spans="1:10" s="1" customFormat="1" ht="15.75">
      <c r="A7" s="173" t="s">
        <v>765</v>
      </c>
      <c r="B7" s="125"/>
      <c r="C7" s="125"/>
      <c r="D7" s="126"/>
      <c r="E7" s="126"/>
      <c r="F7" s="126"/>
      <c r="G7" s="125"/>
      <c r="H7" s="126"/>
      <c r="I7" s="125"/>
      <c r="J7" s="152"/>
    </row>
    <row r="8" spans="1:10" s="1" customFormat="1" ht="15.75">
      <c r="A8" s="173" t="s">
        <v>766</v>
      </c>
      <c r="B8" s="125"/>
      <c r="C8" s="125"/>
      <c r="D8" s="126"/>
      <c r="E8" s="126"/>
      <c r="F8" s="126"/>
      <c r="G8" s="125"/>
      <c r="H8" s="126"/>
      <c r="I8" s="125"/>
      <c r="J8" s="152"/>
    </row>
    <row r="9" spans="1:10" s="1" customFormat="1" ht="15.75">
      <c r="A9" s="174" t="s">
        <v>624</v>
      </c>
      <c r="C9" s="24" t="s">
        <v>287</v>
      </c>
      <c r="D9" s="24" t="s">
        <v>355</v>
      </c>
      <c r="E9" s="3">
        <v>5.69</v>
      </c>
      <c r="F9" s="14">
        <f>IF(D9="ag-01",0.12,IF(D9="ad-01",0.6,IF(D9="ar-03",12.03,IF(D9="ld-02",0.18,IF(D9="op-02",4.31,IF(D9="op-01",6.89,IF(D9="ag-02",0.09,IF(D9="ld-01",0.12))))))))</f>
        <v>0.12</v>
      </c>
      <c r="G9" s="25">
        <f>E9*F9</f>
        <v>0.6828000000000001</v>
      </c>
      <c r="I9" s="95">
        <f>SUM(G9:G12,H13:H14)</f>
        <v>37.827420000000004</v>
      </c>
      <c r="J9" s="5"/>
    </row>
    <row r="10" spans="1:10" s="1" customFormat="1" ht="15.75">
      <c r="A10" s="174" t="s">
        <v>557</v>
      </c>
      <c r="C10" s="24" t="s">
        <v>287</v>
      </c>
      <c r="D10" s="24" t="s">
        <v>377</v>
      </c>
      <c r="E10" s="3">
        <v>25.9</v>
      </c>
      <c r="F10" s="14">
        <f>IF(D10="ag-01",0.12,IF(D10="ad-01",0.6,IF(D10="ar-03",12.03,IF(D10="ld-02",0.18,IF(D10="op-02",4.31,IF(D10="op-01",6.89,IF(D10="ag-02",0.09,IF(D10="ld-01",0.12))))))))</f>
        <v>0.09</v>
      </c>
      <c r="G10" s="25">
        <f>E10*F10</f>
        <v>2.331</v>
      </c>
      <c r="I10" s="95"/>
      <c r="J10" s="5"/>
    </row>
    <row r="11" spans="1:10" s="1" customFormat="1" ht="15.75">
      <c r="A11" s="174" t="s">
        <v>559</v>
      </c>
      <c r="C11" s="24" t="s">
        <v>357</v>
      </c>
      <c r="D11" s="24" t="s">
        <v>560</v>
      </c>
      <c r="E11" s="3">
        <v>0.114</v>
      </c>
      <c r="F11" s="14">
        <f>IF(D11="ag-01",0.12,IF(D11="ad-01",0.6,IF(D11="ar-03",12.03,IF(D11="ld-02",0.18,IF(D11="op-02",4.31,IF(D11="op-01",6.89,IF(D11="ag-02",0.09,IF(D11="ld-01",0.12))))))))</f>
        <v>12.03</v>
      </c>
      <c r="G11" s="25">
        <f>E11*F11</f>
        <v>1.37142</v>
      </c>
      <c r="I11" s="95"/>
      <c r="J11" s="5"/>
    </row>
    <row r="12" spans="1:10" s="1" customFormat="1" ht="15.75">
      <c r="A12" s="174" t="s">
        <v>625</v>
      </c>
      <c r="C12" s="24" t="s">
        <v>574</v>
      </c>
      <c r="D12" s="24" t="s">
        <v>626</v>
      </c>
      <c r="E12" s="3">
        <v>104</v>
      </c>
      <c r="F12" s="14">
        <f>IF(D12="ag-01",0.12,IF(D12="ad-01",0.6,IF(D12="ar-03",12.03,IF(D12="ld-02",0.18,IF(D12="op-02",4.31,IF(D12="op-01",6.89,IF(D12="ag-02",0.09,IF(D12="ld-01",0.12))))))))</f>
        <v>0.12</v>
      </c>
      <c r="G12" s="25">
        <f>E12*F12</f>
        <v>12.48</v>
      </c>
      <c r="I12" s="95"/>
      <c r="J12" s="5"/>
    </row>
    <row r="13" spans="1:10" s="1" customFormat="1" ht="15.75">
      <c r="A13" s="174" t="s">
        <v>289</v>
      </c>
      <c r="C13" s="24" t="s">
        <v>228</v>
      </c>
      <c r="D13" s="24" t="s">
        <v>290</v>
      </c>
      <c r="E13" s="3">
        <v>1.86</v>
      </c>
      <c r="F13" s="14">
        <f>+C282</f>
        <v>6.89</v>
      </c>
      <c r="H13" s="25">
        <f>E13*F13</f>
        <v>12.8154</v>
      </c>
      <c r="I13" s="95"/>
      <c r="J13" s="5"/>
    </row>
    <row r="14" spans="1:10" s="1" customFormat="1" ht="16.5" customHeight="1">
      <c r="A14" s="174" t="s">
        <v>227</v>
      </c>
      <c r="B14" s="24"/>
      <c r="C14" s="2" t="s">
        <v>228</v>
      </c>
      <c r="D14" s="2" t="s">
        <v>229</v>
      </c>
      <c r="E14" s="3">
        <v>1.86</v>
      </c>
      <c r="F14" s="14">
        <f>+C283</f>
        <v>4.38</v>
      </c>
      <c r="H14" s="25">
        <f>E14*F14</f>
        <v>8.1468</v>
      </c>
      <c r="I14" s="95"/>
      <c r="J14" s="5"/>
    </row>
    <row r="15" spans="1:10" ht="16.5" thickBot="1">
      <c r="A15" s="90"/>
      <c r="B15" s="72"/>
      <c r="C15" s="7"/>
      <c r="D15" s="7"/>
      <c r="E15" s="8"/>
      <c r="F15" s="73"/>
      <c r="G15" s="252">
        <f>SUM(G9:G12)</f>
        <v>16.86522</v>
      </c>
      <c r="H15" s="67">
        <f>SUM(H13:H14)</f>
        <v>20.962200000000003</v>
      </c>
      <c r="I15" s="88"/>
      <c r="J15" s="11"/>
    </row>
    <row r="16" spans="1:10" ht="16.5" thickTop="1">
      <c r="A16" s="168">
        <v>9.2</v>
      </c>
      <c r="B16" s="113"/>
      <c r="C16" s="56"/>
      <c r="D16" s="56"/>
      <c r="E16" s="70"/>
      <c r="F16" s="139"/>
      <c r="G16" s="115"/>
      <c r="H16" s="115"/>
      <c r="I16" s="89"/>
      <c r="J16" s="71"/>
    </row>
    <row r="17" spans="1:10" s="1" customFormat="1" ht="15.75">
      <c r="A17" s="173" t="s">
        <v>767</v>
      </c>
      <c r="B17" s="24"/>
      <c r="C17" s="2"/>
      <c r="D17" s="2"/>
      <c r="E17" s="3"/>
      <c r="F17" s="14"/>
      <c r="G17" s="85"/>
      <c r="H17" s="85"/>
      <c r="I17" s="95"/>
      <c r="J17" s="5"/>
    </row>
    <row r="18" spans="1:10" s="1" customFormat="1" ht="15.75">
      <c r="A18" s="173" t="s">
        <v>766</v>
      </c>
      <c r="B18" s="24"/>
      <c r="C18" s="2"/>
      <c r="D18" s="2"/>
      <c r="E18" s="3"/>
      <c r="F18" s="14"/>
      <c r="G18" s="85"/>
      <c r="H18" s="85"/>
      <c r="I18" s="95"/>
      <c r="J18" s="5"/>
    </row>
    <row r="19" spans="1:10" s="1" customFormat="1" ht="15.75">
      <c r="A19" s="174" t="s">
        <v>624</v>
      </c>
      <c r="B19" s="24"/>
      <c r="C19" s="24" t="s">
        <v>287</v>
      </c>
      <c r="D19" s="24" t="s">
        <v>355</v>
      </c>
      <c r="E19" s="3">
        <v>5.69</v>
      </c>
      <c r="F19" s="14">
        <f>IF(D19="ag-01",0.12,IF(D19="ad-01",0.6,IF(D19="ar-03",12.03,IF(D19="ld-02",0.18,IF(D19="op-02",4.31,IF(D19="op-01",6.89,IF(D19="ag-02",0.09,IF(D19="ld-01",0.12))))))))</f>
        <v>0.12</v>
      </c>
      <c r="G19" s="25">
        <f>E19*F19</f>
        <v>0.6828000000000001</v>
      </c>
      <c r="I19" s="95">
        <f>SUM(G19:G22,H23:H24)</f>
        <v>48.15762</v>
      </c>
      <c r="J19" s="5"/>
    </row>
    <row r="20" spans="1:10" s="1" customFormat="1" ht="15.75">
      <c r="A20" s="174" t="s">
        <v>557</v>
      </c>
      <c r="B20" s="24"/>
      <c r="C20" s="24" t="s">
        <v>287</v>
      </c>
      <c r="D20" s="24" t="s">
        <v>377</v>
      </c>
      <c r="E20" s="3">
        <v>25.9</v>
      </c>
      <c r="F20" s="14">
        <f>IF(D20="ag-01",0.12,IF(D20="ad-01",0.6,IF(D20="ar-03",12.03,IF(D20="ld-02",0.18,IF(D20="op-02",4.31,IF(D20="op-01",6.89,IF(D20="ag-02",0.09,IF(D20="ld-01",0.12))))))))</f>
        <v>0.09</v>
      </c>
      <c r="G20" s="25">
        <f>E20*F20</f>
        <v>2.331</v>
      </c>
      <c r="I20" s="95"/>
      <c r="J20" s="5"/>
    </row>
    <row r="21" spans="1:10" s="1" customFormat="1" ht="15.75">
      <c r="A21" s="174" t="s">
        <v>559</v>
      </c>
      <c r="B21" s="24"/>
      <c r="C21" s="24" t="s">
        <v>357</v>
      </c>
      <c r="D21" s="24" t="s">
        <v>560</v>
      </c>
      <c r="E21" s="3">
        <v>0.114</v>
      </c>
      <c r="F21" s="14">
        <f>IF(D21="ag-01",0.12,IF(D21="ad-01",0.6,IF(D21="ar-03",12.03,IF(D21="ld-02",0.18,IF(D21="op-02",4.31,IF(D21="op-01",6.89,IF(D21="ag-02",0.09,IF(D21="ld-01",0.12))))))))</f>
        <v>12.03</v>
      </c>
      <c r="G21" s="25">
        <f>E21*F21</f>
        <v>1.37142</v>
      </c>
      <c r="I21" s="95"/>
      <c r="J21" s="5"/>
    </row>
    <row r="22" spans="1:10" s="1" customFormat="1" ht="15.75">
      <c r="A22" s="174" t="s">
        <v>768</v>
      </c>
      <c r="B22" s="24"/>
      <c r="C22" s="24" t="s">
        <v>574</v>
      </c>
      <c r="D22" s="24" t="s">
        <v>769</v>
      </c>
      <c r="E22" s="3">
        <v>104</v>
      </c>
      <c r="F22" s="14">
        <f>IF(D22="ag-01",0.12,IF(D22="ad-01",0.6,IF(D22="ar-03",12.03,IF(D22="ld-02",0.18,IF(D22="op-02",4.31,IF(D22="op-01",6.89,IF(D22="ag-02",0.09,IF(D22="ld-01",0.12))))))))</f>
        <v>0.18</v>
      </c>
      <c r="G22" s="25">
        <f>E22*F22</f>
        <v>18.72</v>
      </c>
      <c r="I22" s="95"/>
      <c r="J22" s="5"/>
    </row>
    <row r="23" spans="1:10" s="1" customFormat="1" ht="15.75">
      <c r="A23" s="174" t="s">
        <v>289</v>
      </c>
      <c r="B23" s="24"/>
      <c r="C23" s="24" t="s">
        <v>228</v>
      </c>
      <c r="D23" s="24" t="s">
        <v>290</v>
      </c>
      <c r="E23" s="3">
        <v>2.46</v>
      </c>
      <c r="F23" s="14">
        <f>+C282</f>
        <v>6.89</v>
      </c>
      <c r="H23" s="25">
        <f>E23*F23</f>
        <v>16.9494</v>
      </c>
      <c r="I23" s="95"/>
      <c r="J23" s="5"/>
    </row>
    <row r="24" spans="1:10" s="1" customFormat="1" ht="15.75">
      <c r="A24" s="174" t="s">
        <v>227</v>
      </c>
      <c r="B24" s="24"/>
      <c r="C24" s="2" t="s">
        <v>228</v>
      </c>
      <c r="D24" s="2" t="s">
        <v>229</v>
      </c>
      <c r="E24" s="3">
        <v>1.85</v>
      </c>
      <c r="F24" s="14">
        <f>+C283</f>
        <v>4.38</v>
      </c>
      <c r="H24" s="25">
        <f>E24*F24</f>
        <v>8.103</v>
      </c>
      <c r="I24" s="95"/>
      <c r="J24" s="5"/>
    </row>
    <row r="25" spans="1:10" ht="16.5" thickBot="1">
      <c r="A25" s="90"/>
      <c r="B25" s="72"/>
      <c r="C25" s="7"/>
      <c r="D25" s="7"/>
      <c r="E25" s="8"/>
      <c r="F25" s="73"/>
      <c r="G25" s="252">
        <f>SUM(G19:G22)</f>
        <v>23.10522</v>
      </c>
      <c r="H25" s="67">
        <f>SUM(H23:H24)</f>
        <v>25.0524</v>
      </c>
      <c r="I25" s="88"/>
      <c r="J25" s="11"/>
    </row>
    <row r="26" spans="1:10" ht="16.5" thickTop="1">
      <c r="A26" s="168">
        <v>9.3</v>
      </c>
      <c r="B26" s="113"/>
      <c r="C26" s="56"/>
      <c r="D26" s="56"/>
      <c r="E26" s="70"/>
      <c r="F26" s="139"/>
      <c r="G26" s="115"/>
      <c r="H26" s="115"/>
      <c r="I26" s="89"/>
      <c r="J26" s="71"/>
    </row>
    <row r="27" spans="1:10" s="1" customFormat="1" ht="15.75">
      <c r="A27" s="173" t="s">
        <v>770</v>
      </c>
      <c r="B27" s="24"/>
      <c r="C27" s="2"/>
      <c r="D27" s="2"/>
      <c r="E27" s="3"/>
      <c r="F27" s="14"/>
      <c r="G27" s="85"/>
      <c r="H27" s="85"/>
      <c r="I27" s="95"/>
      <c r="J27" s="5"/>
    </row>
    <row r="28" spans="1:10" s="1" customFormat="1" ht="15.75">
      <c r="A28" s="173" t="s">
        <v>766</v>
      </c>
      <c r="B28" s="24"/>
      <c r="C28" s="2"/>
      <c r="D28" s="2"/>
      <c r="E28" s="3"/>
      <c r="F28" s="14"/>
      <c r="G28" s="85"/>
      <c r="H28" s="85"/>
      <c r="I28" s="95"/>
      <c r="J28" s="5"/>
    </row>
    <row r="29" spans="1:10" s="1" customFormat="1" ht="15.75">
      <c r="A29" s="174" t="s">
        <v>624</v>
      </c>
      <c r="B29" s="24"/>
      <c r="C29" s="24" t="s">
        <v>287</v>
      </c>
      <c r="D29" s="24" t="s">
        <v>355</v>
      </c>
      <c r="E29" s="3">
        <v>2.08</v>
      </c>
      <c r="F29" s="14">
        <f>IF(D29="ag-01",0.12,IF(D29="ad-01",0.6,IF(D29="ar-03",12.03,IF(D29="ld-02",0.18,IF(D29="op-02",4.31,IF(D29="op-01",6.89,IF(D29="ag-02",0.09,IF(D29="ld-01",0.12))))))))</f>
        <v>0.12</v>
      </c>
      <c r="G29" s="25">
        <f>E29*F29</f>
        <v>0.2496</v>
      </c>
      <c r="I29" s="95">
        <f>SUM(G29:G32,H33:H34)</f>
        <v>18.6642</v>
      </c>
      <c r="J29" s="5"/>
    </row>
    <row r="30" spans="1:10" s="1" customFormat="1" ht="15.75">
      <c r="A30" s="174" t="s">
        <v>557</v>
      </c>
      <c r="B30" s="24"/>
      <c r="C30" s="24" t="s">
        <v>287</v>
      </c>
      <c r="D30" s="24" t="s">
        <v>377</v>
      </c>
      <c r="E30" s="3">
        <v>9.47</v>
      </c>
      <c r="F30" s="14">
        <f>IF(D30="ag-01",0.12,IF(D30="ad-01",0.6,IF(D30="ar-03",12.03,IF(D30="ld-02",0.18,IF(D30="op-02",4.31,IF(D30="op-01",6.89,IF(D30="ag-02",0.09,IF(D30="ld-01",0.12))))))))</f>
        <v>0.09</v>
      </c>
      <c r="G30" s="25">
        <f>E30*F30</f>
        <v>0.8523000000000001</v>
      </c>
      <c r="I30" s="95"/>
      <c r="J30" s="5"/>
    </row>
    <row r="31" spans="1:10" s="1" customFormat="1" ht="15.75">
      <c r="A31" s="174" t="s">
        <v>559</v>
      </c>
      <c r="B31" s="24"/>
      <c r="C31" s="24" t="s">
        <v>357</v>
      </c>
      <c r="D31" s="24" t="s">
        <v>560</v>
      </c>
      <c r="E31" s="3">
        <v>0.04</v>
      </c>
      <c r="F31" s="14">
        <f>IF(D31="ag-01",0.12,IF(D31="ad-01",0.6,IF(D31="ar-03",12.03,IF(D31="ld-02",0.18,IF(D31="op-02",4.31,IF(D31="op-01",6.89,IF(D31="ag-02",0.09,IF(D31="ld-01",0.12))))))))</f>
        <v>12.03</v>
      </c>
      <c r="G31" s="25">
        <f>E31*F31</f>
        <v>0.48119999999999996</v>
      </c>
      <c r="I31" s="95"/>
      <c r="J31" s="5"/>
    </row>
    <row r="32" spans="1:10" s="1" customFormat="1" ht="15.75">
      <c r="A32" s="174" t="s">
        <v>625</v>
      </c>
      <c r="B32" s="24"/>
      <c r="C32" s="24" t="s">
        <v>574</v>
      </c>
      <c r="D32" s="24" t="s">
        <v>626</v>
      </c>
      <c r="E32" s="3">
        <v>55</v>
      </c>
      <c r="F32" s="14">
        <f>IF(D32="ag-01",0.12,IF(D32="ad-01",0.6,IF(D32="ar-03",12.03,IF(D32="ld-02",0.18,IF(D32="op-02",4.31,IF(D32="op-01",6.89,IF(D32="ag-02",0.09,IF(D32="ld-01",0.12))))))))</f>
        <v>0.12</v>
      </c>
      <c r="G32" s="25">
        <f>E32*F32</f>
        <v>6.6</v>
      </c>
      <c r="I32" s="95"/>
      <c r="J32" s="5"/>
    </row>
    <row r="33" spans="1:10" s="1" customFormat="1" ht="15.75">
      <c r="A33" s="174" t="s">
        <v>289</v>
      </c>
      <c r="B33" s="24"/>
      <c r="C33" s="24" t="s">
        <v>228</v>
      </c>
      <c r="D33" s="24" t="s">
        <v>290</v>
      </c>
      <c r="E33" s="3">
        <v>0.93</v>
      </c>
      <c r="F33" s="14">
        <f>+C282</f>
        <v>6.89</v>
      </c>
      <c r="H33" s="25">
        <f>E33*F33</f>
        <v>6.4077</v>
      </c>
      <c r="I33" s="95"/>
      <c r="J33" s="5"/>
    </row>
    <row r="34" spans="1:10" s="1" customFormat="1" ht="15.75">
      <c r="A34" s="174" t="s">
        <v>227</v>
      </c>
      <c r="B34" s="24"/>
      <c r="C34" s="2" t="s">
        <v>228</v>
      </c>
      <c r="D34" s="2" t="s">
        <v>229</v>
      </c>
      <c r="E34" s="3">
        <v>0.93</v>
      </c>
      <c r="F34" s="14">
        <f>+C283</f>
        <v>4.38</v>
      </c>
      <c r="H34" s="25">
        <f>E34*F34</f>
        <v>4.0734</v>
      </c>
      <c r="I34" s="95"/>
      <c r="J34" s="5"/>
    </row>
    <row r="35" spans="1:10" ht="16.5" thickBot="1">
      <c r="A35" s="90"/>
      <c r="B35" s="72"/>
      <c r="C35" s="7"/>
      <c r="D35" s="7"/>
      <c r="E35" s="8"/>
      <c r="F35" s="73"/>
      <c r="G35" s="252">
        <f>SUM(G29:G32)</f>
        <v>8.1831</v>
      </c>
      <c r="H35" s="67">
        <f>SUM(H33:H34)</f>
        <v>10.481100000000001</v>
      </c>
      <c r="I35" s="88"/>
      <c r="J35" s="11"/>
    </row>
    <row r="36" spans="1:10" ht="16.5" thickTop="1">
      <c r="A36" s="168">
        <v>9.4</v>
      </c>
      <c r="B36" s="113"/>
      <c r="C36" s="56"/>
      <c r="D36" s="56"/>
      <c r="E36" s="70"/>
      <c r="F36" s="139"/>
      <c r="G36" s="115"/>
      <c r="H36" s="115"/>
      <c r="I36" s="89"/>
      <c r="J36" s="71"/>
    </row>
    <row r="37" spans="1:10" s="1" customFormat="1" ht="15.75">
      <c r="A37" s="173" t="s">
        <v>771</v>
      </c>
      <c r="B37" s="24"/>
      <c r="C37" s="2"/>
      <c r="D37" s="2"/>
      <c r="E37" s="3"/>
      <c r="F37" s="14"/>
      <c r="G37" s="85"/>
      <c r="H37" s="85"/>
      <c r="I37" s="95"/>
      <c r="J37" s="5"/>
    </row>
    <row r="38" spans="1:10" s="1" customFormat="1" ht="15.75">
      <c r="A38" s="173" t="s">
        <v>766</v>
      </c>
      <c r="B38" s="24"/>
      <c r="C38" s="2"/>
      <c r="D38" s="2"/>
      <c r="E38" s="3"/>
      <c r="F38" s="14"/>
      <c r="G38" s="85"/>
      <c r="H38" s="85"/>
      <c r="I38" s="95"/>
      <c r="J38" s="5"/>
    </row>
    <row r="39" spans="1:10" s="1" customFormat="1" ht="15.75">
      <c r="A39" s="174" t="s">
        <v>624</v>
      </c>
      <c r="B39" s="24"/>
      <c r="C39" s="24" t="s">
        <v>287</v>
      </c>
      <c r="D39" s="24" t="s">
        <v>355</v>
      </c>
      <c r="E39" s="3">
        <v>2.08</v>
      </c>
      <c r="F39" s="14">
        <f>IF(D39="ag-01",0.12,IF(D39="ad-01",0.6,IF(D39="ar-03",12.03,IF(D39="ld-02",0.18,IF(D39="op-02",4.31,IF(D39="op-01",6.89,IF(D39="ag-02",0.09,IF(D39="ld-01",0.12))))))))</f>
        <v>0.12</v>
      </c>
      <c r="G39" s="25">
        <f>E39*F39</f>
        <v>0.2496</v>
      </c>
      <c r="I39" s="95">
        <f>SUM(G39:G42,H43:H44)</f>
        <v>24.6887</v>
      </c>
      <c r="J39" s="5"/>
    </row>
    <row r="40" spans="1:10" s="1" customFormat="1" ht="15.75">
      <c r="A40" s="174" t="s">
        <v>557</v>
      </c>
      <c r="B40" s="24"/>
      <c r="C40" s="24" t="s">
        <v>287</v>
      </c>
      <c r="D40" s="24" t="s">
        <v>377</v>
      </c>
      <c r="E40" s="3">
        <v>9.47</v>
      </c>
      <c r="F40" s="14">
        <f>IF(D40="ag-01",0.12,IF(D40="ad-01",0.6,IF(D40="ar-03",12.03,IF(D40="ld-02",0.18,IF(D40="op-02",4.31,IF(D40="op-01",6.89,IF(D40="ag-02",0.09,IF(D40="ld-01",0.12))))))))</f>
        <v>0.09</v>
      </c>
      <c r="G40" s="25">
        <f>E40*F40</f>
        <v>0.8523000000000001</v>
      </c>
      <c r="I40" s="95"/>
      <c r="J40" s="5"/>
    </row>
    <row r="41" spans="1:10" s="1" customFormat="1" ht="15.75">
      <c r="A41" s="174" t="s">
        <v>559</v>
      </c>
      <c r="B41" s="24"/>
      <c r="C41" s="24" t="s">
        <v>357</v>
      </c>
      <c r="D41" s="24" t="s">
        <v>560</v>
      </c>
      <c r="E41" s="3">
        <v>0.04</v>
      </c>
      <c r="F41" s="14">
        <f>IF(D41="ag-01",0.12,IF(D41="ad-01",0.6,IF(D41="ar-03",12.03,IF(D41="ld-02",0.18,IF(D41="op-02",4.31,IF(D41="op-01",6.89,IF(D41="ag-02",0.09,IF(D41="ld-01",0.12))))))))</f>
        <v>12.03</v>
      </c>
      <c r="G41" s="25">
        <f>E41*F41</f>
        <v>0.48119999999999996</v>
      </c>
      <c r="I41" s="95"/>
      <c r="J41" s="5"/>
    </row>
    <row r="42" spans="1:10" s="1" customFormat="1" ht="15.75">
      <c r="A42" s="174" t="s">
        <v>768</v>
      </c>
      <c r="B42" s="24"/>
      <c r="C42" s="24" t="s">
        <v>574</v>
      </c>
      <c r="D42" s="24" t="s">
        <v>769</v>
      </c>
      <c r="E42" s="3">
        <v>55</v>
      </c>
      <c r="F42" s="14">
        <f>IF(D42="ag-01",0.12,IF(D42="ad-01",0.6,IF(D42="ar-03",12.03,IF(D42="ld-02",0.18,IF(D42="op-02",4.31,IF(D42="op-01",6.89,IF(D42="ag-02",0.09,IF(D42="ld-01",0.12))))))))</f>
        <v>0.18</v>
      </c>
      <c r="G42" s="25">
        <f>E42*F42</f>
        <v>9.9</v>
      </c>
      <c r="I42" s="95"/>
      <c r="J42" s="5"/>
    </row>
    <row r="43" spans="1:10" s="1" customFormat="1" ht="15.75">
      <c r="A43" s="174" t="s">
        <v>289</v>
      </c>
      <c r="B43" s="24"/>
      <c r="C43" s="24" t="s">
        <v>228</v>
      </c>
      <c r="D43" s="24" t="s">
        <v>290</v>
      </c>
      <c r="E43" s="3">
        <v>1.3</v>
      </c>
      <c r="F43" s="14">
        <f>+C282</f>
        <v>6.89</v>
      </c>
      <c r="H43" s="25">
        <f>E43*F43</f>
        <v>8.957</v>
      </c>
      <c r="I43" s="95"/>
      <c r="J43" s="5"/>
    </row>
    <row r="44" spans="1:10" s="1" customFormat="1" ht="15.75">
      <c r="A44" s="174" t="s">
        <v>227</v>
      </c>
      <c r="B44" s="24"/>
      <c r="C44" s="2" t="s">
        <v>228</v>
      </c>
      <c r="D44" s="2" t="s">
        <v>229</v>
      </c>
      <c r="E44" s="3">
        <v>0.97</v>
      </c>
      <c r="F44" s="14">
        <f>+C283</f>
        <v>4.38</v>
      </c>
      <c r="H44" s="25">
        <f>E44*F44</f>
        <v>4.2486</v>
      </c>
      <c r="I44" s="95"/>
      <c r="J44" s="5"/>
    </row>
    <row r="45" spans="1:10" ht="16.5" thickBot="1">
      <c r="A45" s="90"/>
      <c r="B45" s="72"/>
      <c r="C45" s="7"/>
      <c r="D45" s="7"/>
      <c r="E45" s="8"/>
      <c r="F45" s="73"/>
      <c r="G45" s="252">
        <f>SUM(G39:G42)</f>
        <v>11.4831</v>
      </c>
      <c r="H45" s="67">
        <f>SUM(H43:H44)</f>
        <v>13.2056</v>
      </c>
      <c r="I45" s="88"/>
      <c r="J45" s="11"/>
    </row>
    <row r="46" spans="1:10" ht="16.5" thickTop="1">
      <c r="A46" s="168">
        <v>9.5</v>
      </c>
      <c r="B46" s="113"/>
      <c r="C46" s="56"/>
      <c r="D46" s="56"/>
      <c r="E46" s="70"/>
      <c r="F46" s="139"/>
      <c r="G46" s="115"/>
      <c r="H46" s="115"/>
      <c r="I46" s="89"/>
      <c r="J46" s="71"/>
    </row>
    <row r="47" spans="1:10" s="1" customFormat="1" ht="15.75">
      <c r="A47" s="173" t="s">
        <v>772</v>
      </c>
      <c r="B47" s="24"/>
      <c r="C47" s="2"/>
      <c r="D47" s="2"/>
      <c r="E47" s="3"/>
      <c r="F47" s="14"/>
      <c r="G47" s="85"/>
      <c r="H47" s="85"/>
      <c r="I47" s="95"/>
      <c r="J47" s="5"/>
    </row>
    <row r="48" spans="1:10" s="1" customFormat="1" ht="15.75">
      <c r="A48" s="173" t="s">
        <v>773</v>
      </c>
      <c r="B48" s="24"/>
      <c r="C48" s="2"/>
      <c r="D48" s="2"/>
      <c r="E48" s="3"/>
      <c r="F48" s="14"/>
      <c r="G48" s="85"/>
      <c r="H48" s="85"/>
      <c r="I48" s="95"/>
      <c r="J48" s="5"/>
    </row>
    <row r="49" spans="1:10" s="1" customFormat="1" ht="15.75">
      <c r="A49" s="174" t="s">
        <v>624</v>
      </c>
      <c r="B49" s="24"/>
      <c r="C49" s="24" t="s">
        <v>287</v>
      </c>
      <c r="D49" s="24" t="s">
        <v>355</v>
      </c>
      <c r="E49" s="3">
        <v>1.76</v>
      </c>
      <c r="F49" s="14">
        <f>IF(D49="ag-01",0.12,IF(D49="ad-01",0.6,IF(D49="ar-03",12.03,IF(D49="ld-02",0.18,IF(D49="op-02",4.31,IF(D49="op-01",6.89,IF(D49="ag-02",0.09,IF(D49="ld-01",0.12))))))))</f>
        <v>0.12</v>
      </c>
      <c r="G49" s="25">
        <f>E49*F49</f>
        <v>0.2112</v>
      </c>
      <c r="I49" s="95">
        <f>SUM(G49:G52,H53:H54)</f>
        <v>14.844100000000001</v>
      </c>
      <c r="J49" s="5"/>
    </row>
    <row r="50" spans="1:10" s="1" customFormat="1" ht="15.75">
      <c r="A50" s="174" t="s">
        <v>557</v>
      </c>
      <c r="B50" s="24"/>
      <c r="C50" s="24" t="s">
        <v>287</v>
      </c>
      <c r="D50" s="24" t="s">
        <v>377</v>
      </c>
      <c r="E50" s="3">
        <v>1.98</v>
      </c>
      <c r="F50" s="14">
        <f>IF(D50="ag-01",0.12,IF(D50="ad-01",0.6,IF(D50="ar-03",12.03,IF(D50="ld-02",0.18,IF(D50="op-02",4.31,IF(D50="op-01",6.89,IF(D50="ag-02",0.09,IF(D50="ld-01",0.12))))))))</f>
        <v>0.09</v>
      </c>
      <c r="G50" s="25">
        <f>E50*F50</f>
        <v>0.1782</v>
      </c>
      <c r="I50" s="95"/>
      <c r="J50" s="5"/>
    </row>
    <row r="51" spans="1:10" s="1" customFormat="1" ht="15.75">
      <c r="A51" s="174" t="s">
        <v>559</v>
      </c>
      <c r="B51" s="24"/>
      <c r="C51" s="24" t="s">
        <v>357</v>
      </c>
      <c r="D51" s="24" t="s">
        <v>560</v>
      </c>
      <c r="E51" s="3">
        <v>0.01</v>
      </c>
      <c r="F51" s="14">
        <f>IF(D51="ag-01",0.12,IF(D51="ad-01",0.6,IF(D51="ar-03",12.03,IF(D51="ld-02",0.18,IF(D51="op-02",4.31,IF(D51="op-01",6.89,IF(D51="ag-02",0.09,IF(D51="ld-01",0.12))))))))</f>
        <v>12.03</v>
      </c>
      <c r="G51" s="25">
        <f>E51*F51</f>
        <v>0.12029999999999999</v>
      </c>
      <c r="I51" s="95"/>
      <c r="J51" s="5"/>
    </row>
    <row r="52" spans="1:10" s="1" customFormat="1" ht="15.75">
      <c r="A52" s="174" t="s">
        <v>625</v>
      </c>
      <c r="B52" s="24"/>
      <c r="C52" s="24" t="s">
        <v>574</v>
      </c>
      <c r="D52" s="24" t="s">
        <v>626</v>
      </c>
      <c r="E52" s="3">
        <v>26</v>
      </c>
      <c r="F52" s="14">
        <f>IF(D52="ag-01",0.12,IF(D52="ad-01",0.6,IF(D52="ar-03",12.03,IF(D52="ld-02",0.18,IF(D52="op-02",4.31,IF(D52="op-01",6.89,IF(D52="ag-02",0.09,IF(D52="ld-01",0.12))))))))</f>
        <v>0.12</v>
      </c>
      <c r="G52" s="25">
        <f>E52*F52</f>
        <v>3.12</v>
      </c>
      <c r="I52" s="95"/>
      <c r="J52" s="5"/>
    </row>
    <row r="53" spans="1:10" s="1" customFormat="1" ht="15.75">
      <c r="A53" s="174" t="s">
        <v>289</v>
      </c>
      <c r="B53" s="24"/>
      <c r="C53" s="24" t="s">
        <v>228</v>
      </c>
      <c r="D53" s="24" t="s">
        <v>290</v>
      </c>
      <c r="E53" s="3">
        <v>1.1</v>
      </c>
      <c r="F53" s="14">
        <f>+C282</f>
        <v>6.89</v>
      </c>
      <c r="H53" s="25">
        <f>E53*F53</f>
        <v>7.579000000000001</v>
      </c>
      <c r="I53" s="95"/>
      <c r="J53" s="5"/>
    </row>
    <row r="54" spans="1:10" s="1" customFormat="1" ht="15.75">
      <c r="A54" s="174" t="s">
        <v>227</v>
      </c>
      <c r="B54" s="24"/>
      <c r="C54" s="2" t="s">
        <v>228</v>
      </c>
      <c r="D54" s="2" t="s">
        <v>229</v>
      </c>
      <c r="E54" s="3">
        <v>0.83</v>
      </c>
      <c r="F54" s="14">
        <f>+C283</f>
        <v>4.38</v>
      </c>
      <c r="H54" s="25">
        <f>E54*F54</f>
        <v>3.6353999999999997</v>
      </c>
      <c r="I54" s="95"/>
      <c r="J54" s="5"/>
    </row>
    <row r="55" spans="1:10" ht="16.5" thickBot="1">
      <c r="A55" s="90"/>
      <c r="B55" s="72"/>
      <c r="C55" s="7"/>
      <c r="D55" s="7"/>
      <c r="E55" s="8"/>
      <c r="F55" s="73"/>
      <c r="G55" s="252">
        <f>SUM(G49:G52)</f>
        <v>3.6297</v>
      </c>
      <c r="H55" s="67">
        <f>SUM(H53:H54)</f>
        <v>11.214400000000001</v>
      </c>
      <c r="I55" s="88"/>
      <c r="J55" s="11"/>
    </row>
    <row r="56" spans="1:10" ht="16.5" thickTop="1">
      <c r="A56" s="177">
        <v>9.6</v>
      </c>
      <c r="B56" s="113"/>
      <c r="C56" s="56"/>
      <c r="D56" s="56"/>
      <c r="E56" s="70"/>
      <c r="F56" s="139"/>
      <c r="G56" s="115"/>
      <c r="H56" s="115"/>
      <c r="I56" s="89"/>
      <c r="J56" s="71"/>
    </row>
    <row r="57" spans="1:10" s="1" customFormat="1" ht="15.75">
      <c r="A57" s="173" t="s">
        <v>775</v>
      </c>
      <c r="B57" s="24"/>
      <c r="C57" s="2"/>
      <c r="D57" s="2"/>
      <c r="E57" s="3"/>
      <c r="F57" s="14"/>
      <c r="G57" s="85"/>
      <c r="H57" s="85"/>
      <c r="I57" s="95"/>
      <c r="J57" s="5"/>
    </row>
    <row r="58" spans="1:10" s="1" customFormat="1" ht="15.75">
      <c r="A58" s="173" t="s">
        <v>776</v>
      </c>
      <c r="B58" s="24"/>
      <c r="C58" s="2"/>
      <c r="D58" s="2"/>
      <c r="E58" s="3"/>
      <c r="F58" s="14"/>
      <c r="G58" s="85"/>
      <c r="H58" s="85"/>
      <c r="I58" s="95"/>
      <c r="J58" s="5"/>
    </row>
    <row r="59" spans="1:10" s="1" customFormat="1" ht="15.75">
      <c r="A59" s="172" t="s">
        <v>777</v>
      </c>
      <c r="B59" s="24" t="s">
        <v>387</v>
      </c>
      <c r="C59" s="2" t="s">
        <v>287</v>
      </c>
      <c r="D59" s="2" t="s">
        <v>355</v>
      </c>
      <c r="E59" s="3">
        <v>2.49</v>
      </c>
      <c r="F59" s="14">
        <f>IF(D59="ag-01",0.12,IF(D59="ad-01",0.6,IF(D59="ar-03",12.03,IF(D59="ld-02",0.18,IF(D59="op-02",4.31,IF(D59="op-01",6.89,IF(D59="ag-02",0.09,IF(D59="ld-01",0.12))))))))</f>
        <v>0.12</v>
      </c>
      <c r="G59" s="25">
        <f>E59*F59</f>
        <v>0.2988</v>
      </c>
      <c r="I59" s="95">
        <f>SUM(G66,H66)</f>
        <v>17.16036</v>
      </c>
      <c r="J59" s="5"/>
    </row>
    <row r="60" spans="1:10" s="1" customFormat="1" ht="15.75">
      <c r="A60" s="174" t="s">
        <v>557</v>
      </c>
      <c r="B60" s="24"/>
      <c r="C60" s="2" t="s">
        <v>287</v>
      </c>
      <c r="D60" s="2" t="s">
        <v>377</v>
      </c>
      <c r="E60" s="3">
        <v>2.82</v>
      </c>
      <c r="F60" s="14">
        <f>IF(D60="ag-01",0.12,IF(D60="ad-01",0.6,IF(D60="ar-03",12.03,IF(D60="ld-02",0.18,IF(D60="op-02",4.31,IF(D60="op-01",6.89,IF(D60="ag-02",0.09,IF(D60="ld-01",0.12))))))))</f>
        <v>0.09</v>
      </c>
      <c r="G60" s="25">
        <f>E60*F60</f>
        <v>0.25379999999999997</v>
      </c>
      <c r="I60" s="95"/>
      <c r="J60" s="5"/>
    </row>
    <row r="61" spans="1:10" s="1" customFormat="1" ht="15.75">
      <c r="A61" s="174" t="s">
        <v>559</v>
      </c>
      <c r="B61" s="24"/>
      <c r="C61" s="2" t="s">
        <v>357</v>
      </c>
      <c r="D61" s="2" t="s">
        <v>560</v>
      </c>
      <c r="E61" s="3">
        <v>0.012</v>
      </c>
      <c r="F61" s="14">
        <f aca="true" t="shared" si="0" ref="F61:F81">IF(D61="ag-01",0.12,IF(D61="ar-08",16,IF(D61="ar-03",12.03,IF(D61="ld-02",0.18,IF(D61="op-02",4.31,IF(D61="op-01",6.89,IF(D61="ag-02",0.09,IF(D61="ld-03",0.17))))))))</f>
        <v>12.03</v>
      </c>
      <c r="G61" s="25">
        <f>E61*F61</f>
        <v>0.14436</v>
      </c>
      <c r="I61" s="95"/>
      <c r="J61" s="5"/>
    </row>
    <row r="62" spans="1:10" s="1" customFormat="1" ht="15.75">
      <c r="A62" s="174" t="s">
        <v>778</v>
      </c>
      <c r="B62" s="24"/>
      <c r="C62" s="2" t="s">
        <v>357</v>
      </c>
      <c r="D62" s="2" t="s">
        <v>779</v>
      </c>
      <c r="E62" s="3">
        <v>0.004</v>
      </c>
      <c r="F62" s="14">
        <f t="shared" si="0"/>
        <v>16</v>
      </c>
      <c r="G62" s="25">
        <f>E62*F62</f>
        <v>0.064</v>
      </c>
      <c r="I62" s="95"/>
      <c r="J62" s="5"/>
    </row>
    <row r="63" spans="1:10" s="1" customFormat="1" ht="15.75">
      <c r="A63" s="174" t="s">
        <v>780</v>
      </c>
      <c r="B63" s="24"/>
      <c r="C63" s="2" t="s">
        <v>574</v>
      </c>
      <c r="D63" s="2" t="s">
        <v>628</v>
      </c>
      <c r="E63" s="3">
        <v>30.5</v>
      </c>
      <c r="F63" s="14">
        <f t="shared" si="0"/>
        <v>0.17</v>
      </c>
      <c r="G63" s="25">
        <f>E63*F63</f>
        <v>5.1850000000000005</v>
      </c>
      <c r="I63" s="95"/>
      <c r="J63" s="5"/>
    </row>
    <row r="64" spans="1:10" s="1" customFormat="1" ht="15.75">
      <c r="A64" s="174" t="s">
        <v>289</v>
      </c>
      <c r="B64" s="24"/>
      <c r="C64" s="2" t="s">
        <v>228</v>
      </c>
      <c r="D64" s="2" t="s">
        <v>290</v>
      </c>
      <c r="E64" s="3">
        <v>1.1</v>
      </c>
      <c r="F64" s="14">
        <f>+C282</f>
        <v>6.89</v>
      </c>
      <c r="H64" s="25">
        <f>E64*F64</f>
        <v>7.579000000000001</v>
      </c>
      <c r="I64" s="95"/>
      <c r="J64" s="5"/>
    </row>
    <row r="65" spans="1:10" s="1" customFormat="1" ht="15.75">
      <c r="A65" s="174" t="s">
        <v>227</v>
      </c>
      <c r="B65" s="24"/>
      <c r="C65" s="2" t="s">
        <v>228</v>
      </c>
      <c r="D65" s="2" t="s">
        <v>229</v>
      </c>
      <c r="E65" s="3">
        <v>0.83</v>
      </c>
      <c r="F65" s="14">
        <f>+C283</f>
        <v>4.38</v>
      </c>
      <c r="H65" s="25">
        <f>E65*F65</f>
        <v>3.6353999999999997</v>
      </c>
      <c r="I65" s="95"/>
      <c r="J65" s="5"/>
    </row>
    <row r="66" spans="1:10" s="1" customFormat="1" ht="15.75">
      <c r="A66" s="174"/>
      <c r="B66" s="24"/>
      <c r="C66" s="2"/>
      <c r="D66" s="2"/>
      <c r="E66" s="3"/>
      <c r="F66" s="14"/>
      <c r="G66" s="254">
        <f>SUM(G59:G63)</f>
        <v>5.94596</v>
      </c>
      <c r="H66" s="85">
        <f>SUM(H64:H65)</f>
        <v>11.214400000000001</v>
      </c>
      <c r="I66" s="95"/>
      <c r="J66" s="5"/>
    </row>
    <row r="67" spans="1:10" s="1" customFormat="1" ht="15.75">
      <c r="A67" s="174"/>
      <c r="B67" s="24"/>
      <c r="C67" s="2"/>
      <c r="D67" s="2"/>
      <c r="E67" s="3"/>
      <c r="F67" s="14"/>
      <c r="G67" s="85"/>
      <c r="H67" s="85"/>
      <c r="I67" s="95"/>
      <c r="J67" s="5"/>
    </row>
    <row r="68" spans="1:10" s="1" customFormat="1" ht="15.75">
      <c r="A68" s="172" t="s">
        <v>781</v>
      </c>
      <c r="B68" s="24" t="s">
        <v>389</v>
      </c>
      <c r="C68" s="2" t="s">
        <v>287</v>
      </c>
      <c r="D68" s="2" t="s">
        <v>355</v>
      </c>
      <c r="E68" s="3">
        <v>2.49</v>
      </c>
      <c r="F68" s="14">
        <f t="shared" si="0"/>
        <v>0.12</v>
      </c>
      <c r="G68" s="25">
        <f>E68*F68</f>
        <v>0.2988</v>
      </c>
      <c r="I68" s="95">
        <f>SUM(G75,H75)</f>
        <v>14.49296</v>
      </c>
      <c r="J68" s="5"/>
    </row>
    <row r="69" spans="1:10" s="1" customFormat="1" ht="15.75">
      <c r="A69" s="174" t="s">
        <v>557</v>
      </c>
      <c r="B69" s="24"/>
      <c r="C69" s="2" t="s">
        <v>287</v>
      </c>
      <c r="D69" s="2" t="s">
        <v>377</v>
      </c>
      <c r="E69" s="3">
        <v>2.82</v>
      </c>
      <c r="F69" s="14">
        <f t="shared" si="0"/>
        <v>0.09</v>
      </c>
      <c r="G69" s="25">
        <f>E69*F69</f>
        <v>0.25379999999999997</v>
      </c>
      <c r="I69" s="95"/>
      <c r="J69" s="5"/>
    </row>
    <row r="70" spans="1:10" s="1" customFormat="1" ht="15.75">
      <c r="A70" s="174" t="s">
        <v>559</v>
      </c>
      <c r="B70" s="24"/>
      <c r="C70" s="2" t="s">
        <v>357</v>
      </c>
      <c r="D70" s="2" t="s">
        <v>560</v>
      </c>
      <c r="E70" s="3">
        <v>0.012</v>
      </c>
      <c r="F70" s="14">
        <f t="shared" si="0"/>
        <v>12.03</v>
      </c>
      <c r="G70" s="25">
        <f>E70*F70</f>
        <v>0.14436</v>
      </c>
      <c r="I70" s="95"/>
      <c r="J70" s="5"/>
    </row>
    <row r="71" spans="1:10" s="1" customFormat="1" ht="15.75">
      <c r="A71" s="174" t="s">
        <v>778</v>
      </c>
      <c r="B71" s="24"/>
      <c r="C71" s="2" t="s">
        <v>357</v>
      </c>
      <c r="D71" s="2" t="s">
        <v>779</v>
      </c>
      <c r="E71" s="3">
        <v>0.004</v>
      </c>
      <c r="F71" s="14">
        <f t="shared" si="0"/>
        <v>16</v>
      </c>
      <c r="G71" s="25">
        <f>E71*F71</f>
        <v>0.064</v>
      </c>
      <c r="I71" s="95"/>
      <c r="J71" s="5"/>
    </row>
    <row r="72" spans="1:10" s="1" customFormat="1" ht="15.75">
      <c r="A72" s="174" t="s">
        <v>780</v>
      </c>
      <c r="B72" s="24"/>
      <c r="C72" s="2" t="s">
        <v>574</v>
      </c>
      <c r="D72" s="2" t="s">
        <v>628</v>
      </c>
      <c r="E72" s="3">
        <v>30.5</v>
      </c>
      <c r="F72" s="14">
        <f t="shared" si="0"/>
        <v>0.17</v>
      </c>
      <c r="G72" s="25">
        <f>E72*F72</f>
        <v>5.1850000000000005</v>
      </c>
      <c r="I72" s="95"/>
      <c r="J72" s="5"/>
    </row>
    <row r="73" spans="1:10" s="1" customFormat="1" ht="15.75">
      <c r="A73" s="174" t="s">
        <v>289</v>
      </c>
      <c r="B73" s="24"/>
      <c r="C73" s="2" t="s">
        <v>228</v>
      </c>
      <c r="D73" s="2" t="s">
        <v>290</v>
      </c>
      <c r="E73" s="3">
        <v>0.84</v>
      </c>
      <c r="F73" s="14">
        <f>+C282</f>
        <v>6.89</v>
      </c>
      <c r="H73" s="25">
        <f>E73*F73</f>
        <v>5.787599999999999</v>
      </c>
      <c r="I73" s="95"/>
      <c r="J73" s="5"/>
    </row>
    <row r="74" spans="1:10" s="1" customFormat="1" ht="15.75">
      <c r="A74" s="174" t="s">
        <v>227</v>
      </c>
      <c r="B74" s="24"/>
      <c r="C74" s="2" t="s">
        <v>228</v>
      </c>
      <c r="D74" s="2" t="s">
        <v>229</v>
      </c>
      <c r="E74" s="3">
        <v>0.63</v>
      </c>
      <c r="F74" s="14">
        <f>+C283</f>
        <v>4.38</v>
      </c>
      <c r="H74" s="25">
        <f>E74*F74</f>
        <v>2.7594</v>
      </c>
      <c r="I74" s="95"/>
      <c r="J74" s="5"/>
    </row>
    <row r="75" spans="1:10" s="108" customFormat="1" ht="16.5" thickBot="1">
      <c r="A75" s="90"/>
      <c r="B75" s="28"/>
      <c r="C75" s="7"/>
      <c r="D75" s="7"/>
      <c r="E75" s="8"/>
      <c r="F75" s="10"/>
      <c r="G75" s="252">
        <f>SUM(G68:G72)</f>
        <v>5.94596</v>
      </c>
      <c r="H75" s="252">
        <f>SUM(H73:H74)</f>
        <v>8.546999999999999</v>
      </c>
      <c r="I75" s="88"/>
      <c r="J75" s="11"/>
    </row>
    <row r="76" spans="1:10" ht="16.5" thickTop="1">
      <c r="A76" s="168">
        <v>9.7</v>
      </c>
      <c r="B76" s="69"/>
      <c r="C76" s="56"/>
      <c r="D76" s="56"/>
      <c r="E76" s="70"/>
      <c r="F76" s="84"/>
      <c r="G76" s="115"/>
      <c r="H76" s="115"/>
      <c r="I76" s="89"/>
      <c r="J76" s="71"/>
    </row>
    <row r="77" spans="1:10" s="1" customFormat="1" ht="15.75">
      <c r="A77" s="173" t="s">
        <v>782</v>
      </c>
      <c r="B77" s="24"/>
      <c r="C77" s="2"/>
      <c r="D77" s="2"/>
      <c r="E77" s="3"/>
      <c r="F77" s="14"/>
      <c r="G77" s="85"/>
      <c r="H77" s="85"/>
      <c r="I77" s="95"/>
      <c r="J77" s="5"/>
    </row>
    <row r="78" spans="1:10" s="1" customFormat="1" ht="15.75">
      <c r="A78" s="172" t="s">
        <v>783</v>
      </c>
      <c r="B78" s="24"/>
      <c r="C78" s="2" t="s">
        <v>287</v>
      </c>
      <c r="D78" s="2" t="s">
        <v>355</v>
      </c>
      <c r="E78" s="3">
        <v>1.83</v>
      </c>
      <c r="F78" s="14">
        <f t="shared" si="0"/>
        <v>0.12</v>
      </c>
      <c r="G78" s="25">
        <f>E78*F78</f>
        <v>0.2196</v>
      </c>
      <c r="I78" s="95">
        <f>SUM(G78:G82,H83:H84)</f>
        <v>13.21217</v>
      </c>
      <c r="J78" s="5"/>
    </row>
    <row r="79" spans="1:10" s="1" customFormat="1" ht="15.75">
      <c r="A79" s="174" t="s">
        <v>557</v>
      </c>
      <c r="B79" s="24"/>
      <c r="C79" s="2" t="s">
        <v>287</v>
      </c>
      <c r="D79" s="2" t="s">
        <v>377</v>
      </c>
      <c r="E79" s="3">
        <v>2.07</v>
      </c>
      <c r="F79" s="14">
        <f t="shared" si="0"/>
        <v>0.09</v>
      </c>
      <c r="G79" s="25">
        <f>E79*F79</f>
        <v>0.18629999999999997</v>
      </c>
      <c r="I79" s="95"/>
      <c r="J79" s="5"/>
    </row>
    <row r="80" spans="1:10" s="1" customFormat="1" ht="15.75">
      <c r="A80" s="174" t="s">
        <v>559</v>
      </c>
      <c r="B80" s="24"/>
      <c r="C80" s="2" t="s">
        <v>357</v>
      </c>
      <c r="D80" s="2" t="s">
        <v>560</v>
      </c>
      <c r="E80" s="3">
        <v>0.009</v>
      </c>
      <c r="F80" s="14">
        <f t="shared" si="0"/>
        <v>12.03</v>
      </c>
      <c r="G80" s="25">
        <f>E80*F80</f>
        <v>0.10826999999999999</v>
      </c>
      <c r="I80" s="95"/>
      <c r="J80" s="5"/>
    </row>
    <row r="81" spans="1:10" s="1" customFormat="1" ht="15.75">
      <c r="A81" s="174" t="s">
        <v>778</v>
      </c>
      <c r="B81" s="24"/>
      <c r="C81" s="2" t="s">
        <v>357</v>
      </c>
      <c r="D81" s="2" t="s">
        <v>779</v>
      </c>
      <c r="E81" s="3">
        <v>0.003</v>
      </c>
      <c r="F81" s="14">
        <f t="shared" si="0"/>
        <v>16</v>
      </c>
      <c r="G81" s="25">
        <f>E81*F81</f>
        <v>0.048</v>
      </c>
      <c r="I81" s="95"/>
      <c r="J81" s="5"/>
    </row>
    <row r="82" spans="1:10" s="1" customFormat="1" ht="15.75">
      <c r="A82" s="174" t="s">
        <v>784</v>
      </c>
      <c r="B82" s="24"/>
      <c r="C82" s="2" t="s">
        <v>574</v>
      </c>
      <c r="D82" s="2" t="s">
        <v>785</v>
      </c>
      <c r="E82" s="3">
        <v>20.5</v>
      </c>
      <c r="F82" s="14">
        <f>IF(D82="ag-01",0.12,IF(D82="ar-08",16,IF(D82="ar-03",12.03,IF(D82="ld-02",0.18,IF(D82="op-02",4.31,IF(D82="op-01",6.89,IF(D82="ag-02",0.09,IF(D82="ld-04",0.22))))))))</f>
        <v>0.22</v>
      </c>
      <c r="G82" s="25">
        <f>E82*F82</f>
        <v>4.51</v>
      </c>
      <c r="I82" s="95"/>
      <c r="J82" s="5"/>
    </row>
    <row r="83" spans="1:10" s="1" customFormat="1" ht="15.75">
      <c r="A83" s="174" t="s">
        <v>289</v>
      </c>
      <c r="B83" s="24"/>
      <c r="C83" s="2" t="s">
        <v>228</v>
      </c>
      <c r="D83" s="2" t="s">
        <v>290</v>
      </c>
      <c r="E83" s="3">
        <v>0.8</v>
      </c>
      <c r="F83" s="14">
        <f>+C282</f>
        <v>6.89</v>
      </c>
      <c r="H83" s="25">
        <f>E83*F83</f>
        <v>5.5120000000000005</v>
      </c>
      <c r="I83" s="95"/>
      <c r="J83" s="5"/>
    </row>
    <row r="84" spans="1:10" s="1" customFormat="1" ht="15.75">
      <c r="A84" s="174" t="s">
        <v>227</v>
      </c>
      <c r="B84" s="24"/>
      <c r="C84" s="2" t="s">
        <v>228</v>
      </c>
      <c r="D84" s="2" t="s">
        <v>229</v>
      </c>
      <c r="E84" s="3">
        <v>0.6</v>
      </c>
      <c r="F84" s="14">
        <f>+C283</f>
        <v>4.38</v>
      </c>
      <c r="H84" s="25">
        <f>E84*F84</f>
        <v>2.6279999999999997</v>
      </c>
      <c r="I84" s="95"/>
      <c r="J84" s="5"/>
    </row>
    <row r="85" spans="1:10" ht="16.5" thickBot="1">
      <c r="A85" s="90"/>
      <c r="B85" s="72"/>
      <c r="C85" s="7"/>
      <c r="D85" s="7"/>
      <c r="E85" s="8"/>
      <c r="F85" s="73"/>
      <c r="G85" s="252">
        <f>SUM(G78:G82)</f>
        <v>5.07217</v>
      </c>
      <c r="H85" s="252">
        <f>SUM(H83:H84)</f>
        <v>8.14</v>
      </c>
      <c r="I85" s="88"/>
      <c r="J85" s="11"/>
    </row>
    <row r="86" spans="1:10" ht="16.5" thickTop="1">
      <c r="A86" s="168">
        <v>9.8</v>
      </c>
      <c r="B86" s="113"/>
      <c r="C86" s="56"/>
      <c r="D86" s="56"/>
      <c r="E86" s="70"/>
      <c r="F86" s="139"/>
      <c r="G86" s="115"/>
      <c r="H86" s="115"/>
      <c r="I86" s="89"/>
      <c r="J86" s="71"/>
    </row>
    <row r="87" spans="1:10" s="1" customFormat="1" ht="15.75">
      <c r="A87" s="173" t="s">
        <v>786</v>
      </c>
      <c r="B87" s="24"/>
      <c r="C87" s="2"/>
      <c r="D87" s="2"/>
      <c r="E87" s="3"/>
      <c r="F87" s="14"/>
      <c r="G87" s="85"/>
      <c r="H87" s="85"/>
      <c r="I87" s="95"/>
      <c r="J87" s="5"/>
    </row>
    <row r="88" spans="1:10" s="1" customFormat="1" ht="15.75">
      <c r="A88" s="173" t="s">
        <v>787</v>
      </c>
      <c r="B88" s="24"/>
      <c r="C88" s="2" t="s">
        <v>287</v>
      </c>
      <c r="D88" s="2" t="s">
        <v>355</v>
      </c>
      <c r="E88" s="3">
        <v>1.83</v>
      </c>
      <c r="F88" s="14">
        <f>IF(D88="ag-01",0.12,IF(D88="ar-08",16,IF(D88="ar-03",12.03,IF(D88="ld-02",0.18,IF(D88="op-02",4.31,IF(D88="op-01",6.89,IF(D88="ag-02",0.09,IF(D88="ld-05",0.28))))))))</f>
        <v>0.12</v>
      </c>
      <c r="G88" s="25">
        <f>E88*F88</f>
        <v>0.2196</v>
      </c>
      <c r="I88" s="95">
        <f>SUM(G88:G92,H93:H94)</f>
        <v>12.74787</v>
      </c>
      <c r="J88" s="5"/>
    </row>
    <row r="89" spans="1:10" s="1" customFormat="1" ht="15.75">
      <c r="A89" s="174" t="s">
        <v>557</v>
      </c>
      <c r="B89" s="24"/>
      <c r="C89" s="2" t="s">
        <v>287</v>
      </c>
      <c r="D89" s="2" t="s">
        <v>377</v>
      </c>
      <c r="E89" s="3">
        <v>2.07</v>
      </c>
      <c r="F89" s="14">
        <f>IF(D89="ag-01",0.12,IF(D89="ar-08",16,IF(D89="ar-03",12.03,IF(D89="ld-02",0.18,IF(D89="op-02",4.31,IF(D89="op-01",6.89,IF(D89="ag-02",0.09,IF(D89="ld-05",0.28))))))))</f>
        <v>0.09</v>
      </c>
      <c r="G89" s="25">
        <f>E89*F89</f>
        <v>0.18629999999999997</v>
      </c>
      <c r="I89" s="95"/>
      <c r="J89" s="5"/>
    </row>
    <row r="90" spans="1:10" s="1" customFormat="1" ht="15.75">
      <c r="A90" s="174" t="s">
        <v>559</v>
      </c>
      <c r="B90" s="24"/>
      <c r="C90" s="2" t="s">
        <v>357</v>
      </c>
      <c r="D90" s="2" t="s">
        <v>560</v>
      </c>
      <c r="E90" s="3">
        <v>0.009</v>
      </c>
      <c r="F90" s="14">
        <f>IF(D90="ag-01",0.12,IF(D90="ar-08",16,IF(D90="ar-03",12.03,IF(D90="ld-02",0.18,IF(D90="op-02",4.31,IF(D90="op-01",6.89,IF(D90="ag-02",0.09,IF(D90="ld-05",0.28))))))))</f>
        <v>12.03</v>
      </c>
      <c r="G90" s="25">
        <f>E90*F90</f>
        <v>0.10826999999999999</v>
      </c>
      <c r="I90" s="95"/>
      <c r="J90" s="5"/>
    </row>
    <row r="91" spans="1:10" s="1" customFormat="1" ht="15.75">
      <c r="A91" s="174" t="s">
        <v>778</v>
      </c>
      <c r="B91" s="24"/>
      <c r="C91" s="2" t="s">
        <v>357</v>
      </c>
      <c r="D91" s="2" t="s">
        <v>779</v>
      </c>
      <c r="E91" s="3">
        <v>0.003</v>
      </c>
      <c r="F91" s="14">
        <f>IF(D91="ag-01",0.12,IF(D91="ar-08",16,IF(D91="ar-03",12.03,IF(D91="ld-02",0.18,IF(D91="op-02",4.31,IF(D91="op-01",6.89,IF(D91="ag-02",0.09,IF(D91="ld-05",0.28))))))))</f>
        <v>16</v>
      </c>
      <c r="G91" s="25">
        <f>E91*F91</f>
        <v>0.048</v>
      </c>
      <c r="I91" s="95"/>
      <c r="J91" s="5"/>
    </row>
    <row r="92" spans="1:10" s="1" customFormat="1" ht="15.75">
      <c r="A92" s="174" t="s">
        <v>788</v>
      </c>
      <c r="B92" s="24"/>
      <c r="C92" s="2" t="s">
        <v>574</v>
      </c>
      <c r="D92" s="2" t="s">
        <v>789</v>
      </c>
      <c r="E92" s="3">
        <v>15.5</v>
      </c>
      <c r="F92" s="14">
        <f>IF(D92="ag-01",0.12,IF(D92="ar-08",16,IF(D92="ar-03",12.03,IF(D92="ld-02",0.18,IF(D92="op-02",4.31,IF(D92="op-01",6.89,IF(D92="ag-02",0.09,IF(D92="ld-05",0.28))))))))</f>
        <v>0.28</v>
      </c>
      <c r="G92" s="25">
        <f>E92*F92</f>
        <v>4.340000000000001</v>
      </c>
      <c r="I92" s="95"/>
      <c r="J92" s="5"/>
    </row>
    <row r="93" spans="1:10" s="1" customFormat="1" ht="15.75">
      <c r="A93" s="174" t="s">
        <v>289</v>
      </c>
      <c r="B93" s="24"/>
      <c r="C93" s="2" t="s">
        <v>228</v>
      </c>
      <c r="D93" s="2" t="s">
        <v>290</v>
      </c>
      <c r="E93" s="3">
        <v>0.77</v>
      </c>
      <c r="F93" s="14">
        <f>+C282</f>
        <v>6.89</v>
      </c>
      <c r="H93" s="25">
        <f>E93*F93</f>
        <v>5.3053</v>
      </c>
      <c r="I93" s="95"/>
      <c r="J93" s="5"/>
    </row>
    <row r="94" spans="1:10" s="1" customFormat="1" ht="15.75">
      <c r="A94" s="174" t="s">
        <v>227</v>
      </c>
      <c r="B94" s="24"/>
      <c r="C94" s="2" t="s">
        <v>228</v>
      </c>
      <c r="D94" s="2" t="s">
        <v>229</v>
      </c>
      <c r="E94" s="3">
        <v>0.58</v>
      </c>
      <c r="F94" s="14">
        <f>+C283</f>
        <v>4.38</v>
      </c>
      <c r="H94" s="25">
        <f>E94*F94</f>
        <v>2.5403999999999995</v>
      </c>
      <c r="I94" s="95"/>
      <c r="J94" s="5"/>
    </row>
    <row r="95" spans="1:10" ht="16.5" thickBot="1">
      <c r="A95" s="90"/>
      <c r="B95" s="72"/>
      <c r="C95" s="7"/>
      <c r="D95" s="7"/>
      <c r="E95" s="8"/>
      <c r="F95" s="73"/>
      <c r="G95" s="252">
        <f>SUM(G88:G92)</f>
        <v>4.902170000000001</v>
      </c>
      <c r="H95" s="252">
        <f>SUM(H93:H94)</f>
        <v>7.845699999999999</v>
      </c>
      <c r="I95" s="88"/>
      <c r="J95" s="11"/>
    </row>
    <row r="96" spans="1:10" ht="16.5" thickTop="1">
      <c r="A96" s="168">
        <v>9.9</v>
      </c>
      <c r="B96" s="113"/>
      <c r="C96" s="56"/>
      <c r="D96" s="56"/>
      <c r="E96" s="70"/>
      <c r="F96" s="139"/>
      <c r="G96" s="115"/>
      <c r="H96" s="115"/>
      <c r="I96" s="89"/>
      <c r="J96" s="71"/>
    </row>
    <row r="97" spans="1:10" s="1" customFormat="1" ht="15.75">
      <c r="A97" s="173" t="s">
        <v>790</v>
      </c>
      <c r="B97" s="24"/>
      <c r="C97" s="2"/>
      <c r="D97" s="2"/>
      <c r="E97" s="3"/>
      <c r="F97" s="14"/>
      <c r="G97" s="85"/>
      <c r="H97" s="85"/>
      <c r="I97" s="95"/>
      <c r="J97" s="5"/>
    </row>
    <row r="98" spans="1:10" s="1" customFormat="1" ht="15.75">
      <c r="A98" s="173" t="s">
        <v>791</v>
      </c>
      <c r="B98" s="24"/>
      <c r="C98" s="2"/>
      <c r="D98" s="2"/>
      <c r="E98" s="3"/>
      <c r="F98" s="14"/>
      <c r="G98" s="85"/>
      <c r="H98" s="85"/>
      <c r="I98" s="95"/>
      <c r="J98" s="5"/>
    </row>
    <row r="99" spans="1:10" s="1" customFormat="1" ht="15.75">
      <c r="A99" s="174" t="s">
        <v>624</v>
      </c>
      <c r="B99" s="24"/>
      <c r="C99" s="2" t="s">
        <v>287</v>
      </c>
      <c r="D99" s="2" t="s">
        <v>355</v>
      </c>
      <c r="E99" s="3">
        <v>2.66</v>
      </c>
      <c r="F99" s="14">
        <f>IF(D99="ag-01",0.12,IF(D99="ar-08",16,IF(D99="ar-03",12.03,IF(D99="ld-02",0.18,IF(D99="op-02",4.31,IF(D99="op-01",6.89,IF(D99="ag-02",0.09,IF(D99="ld-06",0.28))))))))</f>
        <v>0.12</v>
      </c>
      <c r="G99" s="25">
        <f>E99*F99</f>
        <v>0.3192</v>
      </c>
      <c r="I99" s="95">
        <f>SUM(G99:G103,H104:H105)</f>
        <v>16.92219</v>
      </c>
      <c r="J99" s="5"/>
    </row>
    <row r="100" spans="1:10" s="1" customFormat="1" ht="15.75">
      <c r="A100" s="174" t="s">
        <v>557</v>
      </c>
      <c r="B100" s="24"/>
      <c r="C100" s="2" t="s">
        <v>287</v>
      </c>
      <c r="D100" s="2" t="s">
        <v>377</v>
      </c>
      <c r="E100" s="3">
        <v>3</v>
      </c>
      <c r="F100" s="14">
        <f>IF(D100="ag-01",0.12,IF(D100="ar-08",16,IF(D100="ar-03",12.03,IF(D100="ld-02",0.18,IF(D100="op-02",4.31,IF(D100="op-01",6.89,IF(D100="ag-02",0.09,IF(D100="ld-06",0.28))))))))</f>
        <v>0.09</v>
      </c>
      <c r="G100" s="25">
        <f>E100*F100</f>
        <v>0.27</v>
      </c>
      <c r="I100" s="95"/>
      <c r="J100" s="5"/>
    </row>
    <row r="101" spans="1:10" s="1" customFormat="1" ht="15.75">
      <c r="A101" s="174" t="s">
        <v>559</v>
      </c>
      <c r="B101" s="24"/>
      <c r="C101" s="2" t="s">
        <v>357</v>
      </c>
      <c r="D101" s="2" t="s">
        <v>560</v>
      </c>
      <c r="E101" s="3">
        <v>0.013</v>
      </c>
      <c r="F101" s="14">
        <f>IF(D101="ag-01",0.12,IF(D101="ar-08",16,IF(D101="ar-03",12.03,IF(D101="ld-02",0.18,IF(D101="op-02",4.31,IF(D101="op-01",6.89,IF(D101="ag-02",0.09,IF(D101="ld-06",0.28))))))))</f>
        <v>12.03</v>
      </c>
      <c r="G101" s="25">
        <f>E101*F101</f>
        <v>0.15638999999999997</v>
      </c>
      <c r="I101" s="95"/>
      <c r="J101" s="5"/>
    </row>
    <row r="102" spans="1:10" s="1" customFormat="1" ht="15.75">
      <c r="A102" s="174" t="s">
        <v>778</v>
      </c>
      <c r="B102" s="24"/>
      <c r="C102" s="2" t="s">
        <v>357</v>
      </c>
      <c r="D102" s="2" t="s">
        <v>779</v>
      </c>
      <c r="E102" s="3">
        <v>0.005</v>
      </c>
      <c r="F102" s="14">
        <f>IF(D102="ag-01",0.12,IF(D102="ar-08",16,IF(D102="ar-03",12.03,IF(D102="ld-02",0.18,IF(D102="op-02",4.31,IF(D102="op-01",6.89,IF(D102="ag-02",0.09,IF(D102="ld-06",0.28))))))))</f>
        <v>16</v>
      </c>
      <c r="G102" s="25">
        <f>E102*F102</f>
        <v>0.08</v>
      </c>
      <c r="I102" s="95"/>
      <c r="J102" s="5"/>
    </row>
    <row r="103" spans="1:10" s="1" customFormat="1" ht="15.75">
      <c r="A103" s="174" t="s">
        <v>792</v>
      </c>
      <c r="B103" s="24"/>
      <c r="C103" s="2" t="s">
        <v>574</v>
      </c>
      <c r="D103" s="2" t="s">
        <v>793</v>
      </c>
      <c r="E103" s="3">
        <v>20.5</v>
      </c>
      <c r="F103" s="14">
        <f>IF(D103="ag-01",0.12,IF(D103="ar-08",16,IF(D103="ar-03",12.03,IF(D103="ld-02",0.18,IF(D103="op-02",4.31,IF(D103="op-01",6.89,IF(D103="ag-02",0.09,IF(D103="ld-06",0.28))))))))</f>
        <v>0.28</v>
      </c>
      <c r="G103" s="25">
        <f>E103*F103</f>
        <v>5.74</v>
      </c>
      <c r="I103" s="95"/>
      <c r="J103" s="5"/>
    </row>
    <row r="104" spans="1:10" s="1" customFormat="1" ht="15.75">
      <c r="A104" s="174" t="s">
        <v>289</v>
      </c>
      <c r="B104" s="24"/>
      <c r="C104" s="2" t="s">
        <v>228</v>
      </c>
      <c r="D104" s="2" t="s">
        <v>290</v>
      </c>
      <c r="E104" s="3">
        <v>1.02</v>
      </c>
      <c r="F104" s="14">
        <f>+C282</f>
        <v>6.89</v>
      </c>
      <c r="H104" s="25">
        <f>E104*F104</f>
        <v>7.0278</v>
      </c>
      <c r="I104" s="95"/>
      <c r="J104" s="5"/>
    </row>
    <row r="105" spans="1:10" s="1" customFormat="1" ht="15.75">
      <c r="A105" s="174" t="s">
        <v>227</v>
      </c>
      <c r="B105" s="24"/>
      <c r="C105" s="2" t="s">
        <v>228</v>
      </c>
      <c r="D105" s="2" t="s">
        <v>229</v>
      </c>
      <c r="E105" s="3">
        <v>0.76</v>
      </c>
      <c r="F105" s="14">
        <f>+C283</f>
        <v>4.38</v>
      </c>
      <c r="H105" s="25">
        <f>E105*F105</f>
        <v>3.3287999999999998</v>
      </c>
      <c r="I105" s="95"/>
      <c r="J105" s="5"/>
    </row>
    <row r="106" spans="1:10" ht="16.5" thickBot="1">
      <c r="A106" s="90"/>
      <c r="B106" s="72"/>
      <c r="C106" s="7"/>
      <c r="D106" s="7"/>
      <c r="E106" s="8"/>
      <c r="F106" s="73"/>
      <c r="G106" s="252">
        <f>SUM(G99:G103)</f>
        <v>6.56559</v>
      </c>
      <c r="H106" s="67">
        <f>SUM(H104:H105)</f>
        <v>10.3566</v>
      </c>
      <c r="I106" s="88"/>
      <c r="J106" s="11"/>
    </row>
    <row r="107" spans="1:10" ht="16.5" thickTop="1">
      <c r="A107" s="176">
        <v>9.1</v>
      </c>
      <c r="B107" s="113"/>
      <c r="C107" s="56"/>
      <c r="D107" s="56"/>
      <c r="E107" s="70"/>
      <c r="F107" s="139"/>
      <c r="G107" s="115"/>
      <c r="H107" s="115"/>
      <c r="I107" s="89"/>
      <c r="J107" s="71"/>
    </row>
    <row r="108" spans="1:10" s="1" customFormat="1" ht="15.75">
      <c r="A108" s="173" t="s">
        <v>790</v>
      </c>
      <c r="B108" s="24"/>
      <c r="C108" s="2"/>
      <c r="D108" s="2"/>
      <c r="E108" s="3"/>
      <c r="F108" s="14"/>
      <c r="G108" s="85"/>
      <c r="H108" s="85"/>
      <c r="I108" s="95"/>
      <c r="J108" s="5"/>
    </row>
    <row r="109" spans="1:10" s="1" customFormat="1" ht="15.75">
      <c r="A109" s="173" t="s">
        <v>794</v>
      </c>
      <c r="B109" s="24"/>
      <c r="C109" s="2"/>
      <c r="D109" s="2"/>
      <c r="E109" s="3"/>
      <c r="F109" s="14"/>
      <c r="G109" s="85"/>
      <c r="H109" s="85"/>
      <c r="I109" s="95"/>
      <c r="J109" s="5"/>
    </row>
    <row r="110" spans="1:10" s="1" customFormat="1" ht="15.75">
      <c r="A110" s="174" t="s">
        <v>624</v>
      </c>
      <c r="B110" s="24"/>
      <c r="C110" s="2" t="s">
        <v>287</v>
      </c>
      <c r="D110" s="2" t="s">
        <v>355</v>
      </c>
      <c r="E110" s="3">
        <v>2.66</v>
      </c>
      <c r="F110" s="14">
        <f>IF(D110="ag-01",0.12,IF(D110="ar-08",16,IF(D110="ar-03",12.03,IF(D110="ld-02",0.18,IF(D110="op-02",4.31,IF(D110="op-01",6.89,IF(D110="ag-02",0.09,IF(D110="ld-07",0.36))))))))</f>
        <v>0.12</v>
      </c>
      <c r="G110" s="25">
        <f>E110*F110</f>
        <v>0.3192</v>
      </c>
      <c r="I110" s="95">
        <f>SUM(G110:G114,H115:H116)</f>
        <v>15.766589999999999</v>
      </c>
      <c r="J110" s="5"/>
    </row>
    <row r="111" spans="1:10" s="1" customFormat="1" ht="15.75">
      <c r="A111" s="174" t="s">
        <v>557</v>
      </c>
      <c r="B111" s="24"/>
      <c r="C111" s="2" t="s">
        <v>287</v>
      </c>
      <c r="D111" s="2" t="s">
        <v>377</v>
      </c>
      <c r="E111" s="3">
        <v>3</v>
      </c>
      <c r="F111" s="14">
        <f>IF(D111="ag-01",0.12,IF(D111="ar-08",16,IF(D111="ar-03",12.03,IF(D111="ld-02",0.18,IF(D111="op-02",4.31,IF(D111="op-01",6.89,IF(D111="ag-02",0.09,IF(D111="ld-07",0.36))))))))</f>
        <v>0.09</v>
      </c>
      <c r="G111" s="25">
        <f>E111*F111</f>
        <v>0.27</v>
      </c>
      <c r="I111" s="95"/>
      <c r="J111" s="5"/>
    </row>
    <row r="112" spans="1:10" s="1" customFormat="1" ht="15.75">
      <c r="A112" s="174" t="s">
        <v>559</v>
      </c>
      <c r="B112" s="24"/>
      <c r="C112" s="2" t="s">
        <v>357</v>
      </c>
      <c r="D112" s="2" t="s">
        <v>560</v>
      </c>
      <c r="E112" s="3">
        <v>0.013</v>
      </c>
      <c r="F112" s="14">
        <f>IF(D112="ag-01",0.12,IF(D112="ar-08",16,IF(D112="ar-03",12.03,IF(D112="ld-02",0.18,IF(D112="op-02",4.31,IF(D112="op-01",6.89,IF(D112="ag-02",0.09,IF(D112="ld-07",0.36))))))))</f>
        <v>12.03</v>
      </c>
      <c r="G112" s="25">
        <f>E112*F112</f>
        <v>0.15638999999999997</v>
      </c>
      <c r="I112" s="95"/>
      <c r="J112" s="5"/>
    </row>
    <row r="113" spans="1:10" s="1" customFormat="1" ht="15.75">
      <c r="A113" s="174" t="s">
        <v>778</v>
      </c>
      <c r="B113" s="24"/>
      <c r="C113" s="2" t="s">
        <v>357</v>
      </c>
      <c r="D113" s="2" t="s">
        <v>779</v>
      </c>
      <c r="E113" s="3">
        <v>0.005</v>
      </c>
      <c r="F113" s="14">
        <f>IF(D113="ag-01",0.12,IF(D113="ar-08",16,IF(D113="ar-03",12.03,IF(D113="ld-02",0.18,IF(D113="op-02",4.31,IF(D113="op-01",6.89,IF(D113="ag-02",0.09,IF(D113="ld-07",0.36))))))))</f>
        <v>16</v>
      </c>
      <c r="G113" s="25">
        <f>E113*F113</f>
        <v>0.08</v>
      </c>
      <c r="I113" s="95"/>
      <c r="J113" s="5"/>
    </row>
    <row r="114" spans="1:10" s="1" customFormat="1" ht="15.75">
      <c r="A114" s="174" t="s">
        <v>795</v>
      </c>
      <c r="B114" s="24"/>
      <c r="C114" s="2" t="s">
        <v>574</v>
      </c>
      <c r="D114" s="2" t="s">
        <v>796</v>
      </c>
      <c r="E114" s="3">
        <v>15.5</v>
      </c>
      <c r="F114" s="14">
        <f>IF(D114="ag-01",0.12,IF(D114="ar-08",16,IF(D114="ar-03",12.03,IF(D114="ld-02",0.18,IF(D114="op-02",4.31,IF(D114="op-01",6.89,IF(D114="ag-02",0.09,IF(D114="ld-07",0.36))))))))</f>
        <v>0.36</v>
      </c>
      <c r="G114" s="25">
        <f>E114*F114</f>
        <v>5.58</v>
      </c>
      <c r="I114" s="95"/>
      <c r="J114" s="5"/>
    </row>
    <row r="115" spans="1:10" s="1" customFormat="1" ht="15.75">
      <c r="A115" s="174" t="s">
        <v>289</v>
      </c>
      <c r="B115" s="24"/>
      <c r="C115" s="2" t="s">
        <v>228</v>
      </c>
      <c r="D115" s="2" t="s">
        <v>290</v>
      </c>
      <c r="E115" s="3">
        <v>0.92</v>
      </c>
      <c r="F115" s="14">
        <f>+C282</f>
        <v>6.89</v>
      </c>
      <c r="H115" s="25">
        <f>E115*F115</f>
        <v>6.3388</v>
      </c>
      <c r="I115" s="95"/>
      <c r="J115" s="5"/>
    </row>
    <row r="116" spans="1:10" s="1" customFormat="1" ht="15.75">
      <c r="A116" s="174" t="s">
        <v>227</v>
      </c>
      <c r="B116" s="24"/>
      <c r="C116" s="2" t="s">
        <v>228</v>
      </c>
      <c r="D116" s="2" t="s">
        <v>229</v>
      </c>
      <c r="E116" s="3">
        <v>0.69</v>
      </c>
      <c r="F116" s="14">
        <f>+C283</f>
        <v>4.38</v>
      </c>
      <c r="H116" s="25">
        <f>E116*F116</f>
        <v>3.0221999999999998</v>
      </c>
      <c r="I116" s="95"/>
      <c r="J116" s="5"/>
    </row>
    <row r="117" spans="1:10" ht="16.5" thickBot="1">
      <c r="A117" s="90"/>
      <c r="B117" s="72"/>
      <c r="C117" s="7"/>
      <c r="D117" s="7"/>
      <c r="E117" s="8"/>
      <c r="F117" s="73"/>
      <c r="G117" s="252">
        <f>SUM(G110:G114)</f>
        <v>6.40559</v>
      </c>
      <c r="H117" s="252">
        <f>SUM(H115:H116)</f>
        <v>9.361</v>
      </c>
      <c r="I117" s="88"/>
      <c r="J117" s="11"/>
    </row>
    <row r="118" spans="1:10" ht="16.5" thickTop="1">
      <c r="A118" s="168">
        <v>9.11</v>
      </c>
      <c r="B118" s="113"/>
      <c r="C118" s="56"/>
      <c r="D118" s="56"/>
      <c r="E118" s="70"/>
      <c r="F118" s="139"/>
      <c r="G118" s="115"/>
      <c r="H118" s="115"/>
      <c r="I118" s="89"/>
      <c r="J118" s="71"/>
    </row>
    <row r="119" spans="1:10" s="1" customFormat="1" ht="15.75">
      <c r="A119" s="173" t="s">
        <v>797</v>
      </c>
      <c r="B119" s="24"/>
      <c r="C119" s="2"/>
      <c r="D119" s="2"/>
      <c r="E119" s="3"/>
      <c r="F119" s="14"/>
      <c r="G119" s="85"/>
      <c r="H119" s="85"/>
      <c r="I119" s="95"/>
      <c r="J119" s="5"/>
    </row>
    <row r="120" spans="1:10" s="1" customFormat="1" ht="15.75">
      <c r="A120" s="173" t="s">
        <v>798</v>
      </c>
      <c r="B120" s="24"/>
      <c r="C120" s="2"/>
      <c r="D120" s="2"/>
      <c r="E120" s="3"/>
      <c r="F120" s="14"/>
      <c r="G120" s="85"/>
      <c r="H120" s="85"/>
      <c r="I120" s="95"/>
      <c r="J120" s="5"/>
    </row>
    <row r="121" spans="1:10" s="1" customFormat="1" ht="15.75">
      <c r="A121" s="174" t="s">
        <v>624</v>
      </c>
      <c r="B121" s="24"/>
      <c r="C121" s="2" t="s">
        <v>287</v>
      </c>
      <c r="D121" s="2" t="s">
        <v>355</v>
      </c>
      <c r="E121" s="3">
        <v>3.99</v>
      </c>
      <c r="F121" s="14">
        <f>IF(D121="ag-01",0.12,IF(D121="ar-08",16,IF(D121="ar-03",12.03,IF(D121="ld-02",0.18,IF(D121="op-02",4.31,IF(D121="op-01",6.89,IF(D121="ag-02",0.09,IF(D121="ld-08",0.55))))))))</f>
        <v>0.12</v>
      </c>
      <c r="G121" s="25">
        <f>E121*F121</f>
        <v>0.4788</v>
      </c>
      <c r="I121" s="95">
        <f>SUM(G121:G125,H126:H127)</f>
        <v>20.637700000000002</v>
      </c>
      <c r="J121" s="5"/>
    </row>
    <row r="122" spans="1:10" s="1" customFormat="1" ht="15.75">
      <c r="A122" s="174" t="s">
        <v>557</v>
      </c>
      <c r="B122" s="24"/>
      <c r="C122" s="2" t="s">
        <v>287</v>
      </c>
      <c r="D122" s="2" t="s">
        <v>377</v>
      </c>
      <c r="E122" s="3">
        <v>4.5</v>
      </c>
      <c r="F122" s="14">
        <f>IF(D122="ag-01",0.12,IF(D122="ar-08",16,IF(D122="ar-03",12.03,IF(D122="ld-02",0.18,IF(D122="op-02",4.31,IF(D122="op-01",6.89,IF(D122="ag-02",0.09,IF(D122="ld-08",0.55))))))))</f>
        <v>0.09</v>
      </c>
      <c r="G122" s="25">
        <f>E122*F122</f>
        <v>0.40499999999999997</v>
      </c>
      <c r="I122" s="95"/>
      <c r="J122" s="5"/>
    </row>
    <row r="123" spans="1:10" s="1" customFormat="1" ht="15.75">
      <c r="A123" s="174" t="s">
        <v>559</v>
      </c>
      <c r="B123" s="24"/>
      <c r="C123" s="2" t="s">
        <v>357</v>
      </c>
      <c r="D123" s="2" t="s">
        <v>560</v>
      </c>
      <c r="E123" s="3">
        <v>0.02</v>
      </c>
      <c r="F123" s="14">
        <f>IF(D123="ag-01",0.12,IF(D123="ar-08",16,IF(D123="ar-03",12.03,IF(D123="ld-02",0.18,IF(D123="op-02",4.31,IF(D123="op-01",6.89,IF(D123="ag-02",0.09,IF(D123="ld-08",0.55))))))))</f>
        <v>12.03</v>
      </c>
      <c r="G123" s="25">
        <f>E123*F123</f>
        <v>0.24059999999999998</v>
      </c>
      <c r="I123" s="95"/>
      <c r="J123" s="5"/>
    </row>
    <row r="124" spans="1:10" s="1" customFormat="1" ht="15.75">
      <c r="A124" s="174" t="s">
        <v>778</v>
      </c>
      <c r="B124" s="24"/>
      <c r="C124" s="2" t="s">
        <v>357</v>
      </c>
      <c r="D124" s="2" t="s">
        <v>779</v>
      </c>
      <c r="E124" s="3">
        <v>0.007</v>
      </c>
      <c r="F124" s="14">
        <f>IF(D124="ag-01",0.12,IF(D124="ar-08",16,IF(D124="ar-03",12.03,IF(D124="ld-02",0.18,IF(D124="op-02",4.31,IF(D124="op-01",6.89,IF(D124="ag-02",0.09,IF(D124="ld-08",0.55))))))))</f>
        <v>16</v>
      </c>
      <c r="G124" s="25">
        <f>E124*F124</f>
        <v>0.112</v>
      </c>
      <c r="I124" s="95"/>
      <c r="J124" s="5"/>
    </row>
    <row r="125" spans="1:10" s="1" customFormat="1" ht="15.75">
      <c r="A125" s="174" t="s">
        <v>799</v>
      </c>
      <c r="B125" s="24"/>
      <c r="C125" s="2" t="s">
        <v>574</v>
      </c>
      <c r="D125" s="2" t="s">
        <v>800</v>
      </c>
      <c r="E125" s="3">
        <v>15.5</v>
      </c>
      <c r="F125" s="14">
        <f>IF(D125="ag-01",0.12,IF(D125="ar-08",16,IF(D125="ar-03",12.03,IF(D125="ld-02",0.18,IF(D125="op-02",4.31,IF(D125="op-01",6.89,IF(D125="ag-02",0.09,IF(D125="ld-08",0.55))))))))</f>
        <v>0.55</v>
      </c>
      <c r="G125" s="25">
        <f>E125*F125</f>
        <v>8.525</v>
      </c>
      <c r="I125" s="95"/>
      <c r="J125" s="5"/>
    </row>
    <row r="126" spans="1:10" s="1" customFormat="1" ht="15.75">
      <c r="A126" s="174" t="s">
        <v>289</v>
      </c>
      <c r="B126" s="24"/>
      <c r="C126" s="2" t="s">
        <v>228</v>
      </c>
      <c r="D126" s="2" t="s">
        <v>290</v>
      </c>
      <c r="E126" s="3">
        <v>1.07</v>
      </c>
      <c r="F126" s="14">
        <f>+C282</f>
        <v>6.89</v>
      </c>
      <c r="H126" s="25">
        <f>E126*F126</f>
        <v>7.3723</v>
      </c>
      <c r="I126" s="95"/>
      <c r="J126" s="5"/>
    </row>
    <row r="127" spans="1:10" s="1" customFormat="1" ht="15.75">
      <c r="A127" s="174" t="s">
        <v>227</v>
      </c>
      <c r="B127" s="24"/>
      <c r="C127" s="2" t="s">
        <v>228</v>
      </c>
      <c r="D127" s="2" t="s">
        <v>229</v>
      </c>
      <c r="E127" s="3">
        <v>0.8</v>
      </c>
      <c r="F127" s="14">
        <f>+C283</f>
        <v>4.38</v>
      </c>
      <c r="H127" s="25">
        <f>E127*F127</f>
        <v>3.504</v>
      </c>
      <c r="I127" s="95"/>
      <c r="J127" s="5"/>
    </row>
    <row r="128" spans="1:10" ht="16.5" thickBot="1">
      <c r="A128" s="90"/>
      <c r="B128" s="72"/>
      <c r="C128" s="7"/>
      <c r="D128" s="7"/>
      <c r="E128" s="8"/>
      <c r="F128" s="73"/>
      <c r="G128" s="252">
        <f>SUM(G121:G125)</f>
        <v>9.7614</v>
      </c>
      <c r="H128" s="67">
        <f>SUM(H126:H127)</f>
        <v>10.8763</v>
      </c>
      <c r="I128" s="88"/>
      <c r="J128" s="11"/>
    </row>
    <row r="129" spans="1:10" ht="16.5" thickTop="1">
      <c r="A129" s="168">
        <v>9.12</v>
      </c>
      <c r="B129" s="113"/>
      <c r="C129" s="56"/>
      <c r="D129" s="56"/>
      <c r="E129" s="70"/>
      <c r="F129" s="139"/>
      <c r="G129" s="115"/>
      <c r="H129" s="115"/>
      <c r="I129" s="89"/>
      <c r="J129" s="71"/>
    </row>
    <row r="130" spans="1:10" s="1" customFormat="1" ht="15.75">
      <c r="A130" s="173" t="s">
        <v>797</v>
      </c>
      <c r="B130" s="24"/>
      <c r="C130" s="2"/>
      <c r="D130" s="2"/>
      <c r="E130" s="3"/>
      <c r="F130" s="14"/>
      <c r="G130" s="85"/>
      <c r="H130" s="85"/>
      <c r="I130" s="95"/>
      <c r="J130" s="5"/>
    </row>
    <row r="131" spans="1:10" s="1" customFormat="1" ht="15.75">
      <c r="A131" s="173" t="s">
        <v>801</v>
      </c>
      <c r="B131" s="24"/>
      <c r="C131" s="2"/>
      <c r="D131" s="2"/>
      <c r="E131" s="3"/>
      <c r="F131" s="14"/>
      <c r="G131" s="85"/>
      <c r="H131" s="85"/>
      <c r="I131" s="95"/>
      <c r="J131" s="5"/>
    </row>
    <row r="132" spans="1:10" s="1" customFormat="1" ht="15.75">
      <c r="A132" s="174" t="s">
        <v>624</v>
      </c>
      <c r="B132" s="24"/>
      <c r="C132" s="2" t="s">
        <v>287</v>
      </c>
      <c r="D132" s="2" t="s">
        <v>355</v>
      </c>
      <c r="E132" s="3">
        <v>3.99</v>
      </c>
      <c r="F132" s="14">
        <f>IF(D132="ag-01",0.12,IF(D132="ar-08",16,IF(D132="ar-03",12.03,IF(D132="ld-02",0.18,IF(D132="op-02",4.31,IF(D132="op-01",6.89,IF(D132="ag-02",0.09,IF(D132="ld-09",0.67))))))))</f>
        <v>0.12</v>
      </c>
      <c r="G132" s="25">
        <f>E132*F132</f>
        <v>0.4788</v>
      </c>
      <c r="I132" s="95">
        <f>SUM(G132:G136,H137:H138)</f>
        <v>18.7908</v>
      </c>
      <c r="J132" s="5"/>
    </row>
    <row r="133" spans="1:10" s="1" customFormat="1" ht="15.75">
      <c r="A133" s="174" t="s">
        <v>557</v>
      </c>
      <c r="B133" s="24"/>
      <c r="C133" s="2" t="s">
        <v>287</v>
      </c>
      <c r="D133" s="2" t="s">
        <v>377</v>
      </c>
      <c r="E133" s="3">
        <v>4.5</v>
      </c>
      <c r="F133" s="14">
        <f>IF(D133="ag-01",0.12,IF(D133="ar-08",16,IF(D133="ar-03",12.03,IF(D133="ld-02",0.18,IF(D133="op-02",4.31,IF(D133="op-01",6.89,IF(D133="ag-02",0.09,IF(D133="ld-09",0.67))))))))</f>
        <v>0.09</v>
      </c>
      <c r="G133" s="25">
        <f>E133*F133</f>
        <v>0.40499999999999997</v>
      </c>
      <c r="I133" s="95"/>
      <c r="J133" s="5"/>
    </row>
    <row r="134" spans="1:10" s="1" customFormat="1" ht="15.75">
      <c r="A134" s="174" t="s">
        <v>559</v>
      </c>
      <c r="B134" s="24"/>
      <c r="C134" s="2" t="s">
        <v>357</v>
      </c>
      <c r="D134" s="2" t="s">
        <v>560</v>
      </c>
      <c r="E134" s="3">
        <v>0.02</v>
      </c>
      <c r="F134" s="14">
        <f>IF(D134="ag-01",0.12,IF(D134="ar-08",16,IF(D134="ar-03",12.03,IF(D134="ld-02",0.18,IF(D134="op-02",4.31,IF(D134="op-01",6.89,IF(D134="ag-02",0.09,IF(D134="ld-09",0.67))))))))</f>
        <v>12.03</v>
      </c>
      <c r="G134" s="25">
        <f>E134*F134</f>
        <v>0.24059999999999998</v>
      </c>
      <c r="I134" s="95"/>
      <c r="J134" s="5"/>
    </row>
    <row r="135" spans="1:10" s="1" customFormat="1" ht="15.75">
      <c r="A135" s="174" t="s">
        <v>778</v>
      </c>
      <c r="B135" s="24"/>
      <c r="C135" s="2" t="s">
        <v>357</v>
      </c>
      <c r="D135" s="2" t="s">
        <v>779</v>
      </c>
      <c r="E135" s="3">
        <v>0.007</v>
      </c>
      <c r="F135" s="14">
        <f>IF(D135="ag-01",0.12,IF(D135="ar-08",16,IF(D135="ar-03",12.03,IF(D135="ld-02",0.18,IF(D135="op-02",4.31,IF(D135="op-01",6.89,IF(D135="ag-02",0.09,IF(D135="ld-09",0.67))))))))</f>
        <v>16</v>
      </c>
      <c r="G135" s="25">
        <f>E135*F135</f>
        <v>0.112</v>
      </c>
      <c r="I135" s="95"/>
      <c r="J135" s="5"/>
    </row>
    <row r="136" spans="1:10" s="1" customFormat="1" ht="15.75">
      <c r="A136" s="174" t="s">
        <v>802</v>
      </c>
      <c r="B136" s="24"/>
      <c r="C136" s="2" t="s">
        <v>574</v>
      </c>
      <c r="D136" s="2" t="s">
        <v>803</v>
      </c>
      <c r="E136" s="3">
        <v>12.5</v>
      </c>
      <c r="F136" s="14">
        <f>IF(D136="ag-01",0.12,IF(D136="ar-08",16,IF(D136="ar-03",12.03,IF(D136="ld-02",0.18,IF(D136="op-02",4.31,IF(D136="op-01",6.89,IF(D136="ag-02",0.09,IF(D136="ld-09",0.67))))))))</f>
        <v>0.67</v>
      </c>
      <c r="G136" s="25">
        <f>E136*F136</f>
        <v>8.375</v>
      </c>
      <c r="I136" s="95"/>
      <c r="J136" s="5"/>
    </row>
    <row r="137" spans="1:10" s="1" customFormat="1" ht="15.75">
      <c r="A137" s="174" t="s">
        <v>289</v>
      </c>
      <c r="B137" s="24"/>
      <c r="C137" s="2" t="s">
        <v>228</v>
      </c>
      <c r="D137" s="2" t="s">
        <v>290</v>
      </c>
      <c r="E137" s="3">
        <v>0.9</v>
      </c>
      <c r="F137" s="14">
        <f>+C282</f>
        <v>6.89</v>
      </c>
      <c r="H137" s="25">
        <f>E137*F137</f>
        <v>6.201</v>
      </c>
      <c r="I137" s="95"/>
      <c r="J137" s="5"/>
    </row>
    <row r="138" spans="1:10" s="1" customFormat="1" ht="15.75">
      <c r="A138" s="174" t="s">
        <v>227</v>
      </c>
      <c r="B138" s="24"/>
      <c r="C138" s="2" t="s">
        <v>228</v>
      </c>
      <c r="D138" s="2" t="s">
        <v>229</v>
      </c>
      <c r="E138" s="3">
        <v>0.68</v>
      </c>
      <c r="F138" s="14">
        <f>+C283</f>
        <v>4.38</v>
      </c>
      <c r="H138" s="25">
        <f>E138*F138</f>
        <v>2.9784</v>
      </c>
      <c r="I138" s="95"/>
      <c r="J138" s="5"/>
    </row>
    <row r="139" spans="1:10" ht="16.5" thickBot="1">
      <c r="A139" s="90"/>
      <c r="B139" s="72"/>
      <c r="C139" s="7"/>
      <c r="D139" s="7"/>
      <c r="E139" s="8"/>
      <c r="F139" s="73"/>
      <c r="G139" s="252">
        <f>SUM(G132:G136)</f>
        <v>9.6114</v>
      </c>
      <c r="H139" s="252">
        <f>SUM(H137:H138)</f>
        <v>9.1794</v>
      </c>
      <c r="I139" s="88"/>
      <c r="J139" s="11"/>
    </row>
    <row r="140" spans="1:10" ht="16.5" thickTop="1">
      <c r="A140" s="168">
        <v>9.13</v>
      </c>
      <c r="B140" s="113"/>
      <c r="C140" s="56"/>
      <c r="D140" s="56"/>
      <c r="E140" s="70"/>
      <c r="F140" s="139"/>
      <c r="G140" s="115"/>
      <c r="H140" s="115"/>
      <c r="I140" s="89"/>
      <c r="J140" s="71"/>
    </row>
    <row r="141" spans="1:10" s="1" customFormat="1" ht="15.75">
      <c r="A141" s="179" t="s">
        <v>790</v>
      </c>
      <c r="B141" s="24"/>
      <c r="C141" s="2"/>
      <c r="D141" s="2"/>
      <c r="E141" s="3"/>
      <c r="F141" s="14"/>
      <c r="G141" s="85"/>
      <c r="H141" s="85"/>
      <c r="I141" s="95"/>
      <c r="J141" s="5"/>
    </row>
    <row r="142" spans="1:10" s="1" customFormat="1" ht="15.75">
      <c r="A142" s="180" t="s">
        <v>804</v>
      </c>
      <c r="B142" s="24"/>
      <c r="C142" s="2"/>
      <c r="D142" s="2"/>
      <c r="E142" s="3"/>
      <c r="F142" s="14"/>
      <c r="G142" s="85"/>
      <c r="H142" s="85"/>
      <c r="I142" s="95"/>
      <c r="J142" s="5"/>
    </row>
    <row r="143" spans="1:10" s="1" customFormat="1" ht="15.75">
      <c r="A143" s="181" t="s">
        <v>624</v>
      </c>
      <c r="B143" s="24"/>
      <c r="C143" s="2" t="s">
        <v>287</v>
      </c>
      <c r="D143" s="2" t="s">
        <v>355</v>
      </c>
      <c r="E143" s="3">
        <v>2.49</v>
      </c>
      <c r="F143" s="14">
        <f>IF(D143="ag-01",0.12,IF(D143="ar-08",16,IF(D143="ar-03",12.03,IF(D143="ld-02",0.18,IF(D143="op-02",4.31,IF(D143="op-01",6.89,IF(D143="ag-02",0.09,IF(D143="ld-10",0.69))))))))</f>
        <v>0.12</v>
      </c>
      <c r="G143" s="25">
        <f>E143*F143</f>
        <v>0.2988</v>
      </c>
      <c r="I143" s="95">
        <f>SUM(G143:G147,H148:H149)</f>
        <v>19.37936</v>
      </c>
      <c r="J143" s="5"/>
    </row>
    <row r="144" spans="1:10" s="1" customFormat="1" ht="15.75">
      <c r="A144" s="174" t="s">
        <v>557</v>
      </c>
      <c r="B144" s="24"/>
      <c r="C144" s="2" t="s">
        <v>287</v>
      </c>
      <c r="D144" s="2" t="s">
        <v>377</v>
      </c>
      <c r="E144" s="3">
        <v>2.82</v>
      </c>
      <c r="F144" s="14">
        <f>IF(D144="ag-01",0.12,IF(D144="ar-08",16,IF(D144="ar-03",12.03,IF(D144="ld-02",0.18,IF(D144="op-02",4.31,IF(D144="op-01",6.89,IF(D144="ag-02",0.09,IF(D144="ld-10",0.69))))))))</f>
        <v>0.09</v>
      </c>
      <c r="G144" s="25">
        <f>E144*F144</f>
        <v>0.25379999999999997</v>
      </c>
      <c r="I144" s="95"/>
      <c r="J144" s="5"/>
    </row>
    <row r="145" spans="1:10" s="1" customFormat="1" ht="15.75">
      <c r="A145" s="174" t="s">
        <v>559</v>
      </c>
      <c r="B145" s="24"/>
      <c r="C145" s="2" t="s">
        <v>357</v>
      </c>
      <c r="D145" s="2" t="s">
        <v>560</v>
      </c>
      <c r="E145" s="3">
        <v>0.012</v>
      </c>
      <c r="F145" s="14">
        <f>IF(D145="ag-01",0.12,IF(D145="ar-08",16,IF(D145="ar-03",12.03,IF(D145="ld-02",0.18,IF(D145="op-02",4.31,IF(D145="op-01",6.89,IF(D145="ag-02",0.09,IF(D145="ld-10",0.69))))))))</f>
        <v>12.03</v>
      </c>
      <c r="G145" s="25">
        <f>E145*F145</f>
        <v>0.14436</v>
      </c>
      <c r="I145" s="95"/>
      <c r="J145" s="5"/>
    </row>
    <row r="146" spans="1:10" s="1" customFormat="1" ht="15.75">
      <c r="A146" s="174" t="s">
        <v>778</v>
      </c>
      <c r="B146" s="24"/>
      <c r="C146" s="2" t="s">
        <v>357</v>
      </c>
      <c r="D146" s="2" t="s">
        <v>779</v>
      </c>
      <c r="E146" s="3">
        <v>0.004</v>
      </c>
      <c r="F146" s="14">
        <f>IF(D146="ag-01",0.12,IF(D146="ar-08",16,IF(D146="ar-03",12.03,IF(D146="ld-02",0.18,IF(D146="op-02",4.31,IF(D146="op-01",6.89,IF(D146="ag-02",0.09,IF(D146="ld-10",0.69))))))))</f>
        <v>16</v>
      </c>
      <c r="G146" s="25">
        <f>E146*F146</f>
        <v>0.064</v>
      </c>
      <c r="I146" s="95"/>
      <c r="J146" s="5"/>
    </row>
    <row r="147" spans="1:10" s="1" customFormat="1" ht="15.75">
      <c r="A147" s="174" t="s">
        <v>805</v>
      </c>
      <c r="B147" s="24"/>
      <c r="C147" s="2" t="s">
        <v>574</v>
      </c>
      <c r="D147" s="2" t="s">
        <v>806</v>
      </c>
      <c r="E147" s="3">
        <v>12.5</v>
      </c>
      <c r="F147" s="14">
        <f>IF(D147="ag-01",0.12,IF(D147="ar-08",16,IF(D147="ar-03",12.03,IF(D147="ld-02",0.18,IF(D147="op-02",4.31,IF(D147="op-01",6.89,IF(D147="ag-02",0.09,IF(D147="ld-10",0.69))))))))</f>
        <v>0.69</v>
      </c>
      <c r="G147" s="25">
        <f>E147*F147</f>
        <v>8.625</v>
      </c>
      <c r="I147" s="95"/>
      <c r="J147" s="5"/>
    </row>
    <row r="148" spans="1:10" s="1" customFormat="1" ht="15.75">
      <c r="A148" s="174" t="s">
        <v>289</v>
      </c>
      <c r="B148" s="24"/>
      <c r="C148" s="2" t="s">
        <v>228</v>
      </c>
      <c r="D148" s="2" t="s">
        <v>290</v>
      </c>
      <c r="E148" s="3">
        <v>0.98</v>
      </c>
      <c r="F148" s="14">
        <f>+C282</f>
        <v>6.89</v>
      </c>
      <c r="H148" s="25">
        <f>E148*F148</f>
        <v>6.752199999999999</v>
      </c>
      <c r="I148" s="95"/>
      <c r="J148" s="5"/>
    </row>
    <row r="149" spans="1:10" s="1" customFormat="1" ht="15.75">
      <c r="A149" s="174" t="s">
        <v>227</v>
      </c>
      <c r="B149" s="24"/>
      <c r="C149" s="2" t="s">
        <v>228</v>
      </c>
      <c r="D149" s="2" t="s">
        <v>229</v>
      </c>
      <c r="E149" s="3">
        <v>0.74</v>
      </c>
      <c r="F149" s="14">
        <f>+C283</f>
        <v>4.38</v>
      </c>
      <c r="H149" s="25">
        <f>E149*F149</f>
        <v>3.2412</v>
      </c>
      <c r="I149" s="95"/>
      <c r="J149" s="5"/>
    </row>
    <row r="150" spans="1:10" ht="16.5" thickBot="1">
      <c r="A150" s="90"/>
      <c r="B150" s="72"/>
      <c r="C150" s="7"/>
      <c r="D150" s="7"/>
      <c r="E150" s="8"/>
      <c r="F150" s="73"/>
      <c r="G150" s="252">
        <f>SUM(G143:G147)</f>
        <v>9.38596</v>
      </c>
      <c r="H150" s="252">
        <f>SUM(H148:H149)</f>
        <v>9.9934</v>
      </c>
      <c r="I150" s="88"/>
      <c r="J150" s="11"/>
    </row>
    <row r="151" spans="1:10" ht="16.5" thickTop="1">
      <c r="A151" s="168">
        <v>9.14</v>
      </c>
      <c r="B151" s="113"/>
      <c r="C151" s="56"/>
      <c r="D151" s="56"/>
      <c r="E151" s="70"/>
      <c r="F151" s="139"/>
      <c r="G151" s="115"/>
      <c r="H151" s="115"/>
      <c r="I151" s="89"/>
      <c r="J151" s="71"/>
    </row>
    <row r="152" spans="1:10" s="1" customFormat="1" ht="15.75">
      <c r="A152" s="173" t="s">
        <v>797</v>
      </c>
      <c r="B152" s="24"/>
      <c r="C152" s="2"/>
      <c r="D152" s="2"/>
      <c r="E152" s="3"/>
      <c r="F152" s="14"/>
      <c r="G152" s="85"/>
      <c r="H152" s="85"/>
      <c r="I152" s="95"/>
      <c r="J152" s="5"/>
    </row>
    <row r="153" spans="1:10" s="1" customFormat="1" ht="15.75">
      <c r="A153" s="173" t="s">
        <v>807</v>
      </c>
      <c r="B153" s="24"/>
      <c r="C153" s="2"/>
      <c r="D153" s="2"/>
      <c r="E153" s="3"/>
      <c r="F153" s="14"/>
      <c r="G153" s="85"/>
      <c r="H153" s="85"/>
      <c r="I153" s="95"/>
      <c r="J153" s="5"/>
    </row>
    <row r="154" spans="1:10" s="1" customFormat="1" ht="15.75">
      <c r="A154" s="174" t="s">
        <v>624</v>
      </c>
      <c r="B154" s="24"/>
      <c r="C154" s="2" t="s">
        <v>287</v>
      </c>
      <c r="D154" s="2" t="s">
        <v>355</v>
      </c>
      <c r="E154" s="3">
        <v>2.49</v>
      </c>
      <c r="F154" s="14">
        <f>IF(D154="ag-01",0.12,IF(D154="ar-08",16,IF(D154="ar-03",12.03,IF(D154="ld-02",0.18,IF(D154="op-02",4.31,IF(D154="op-01",6.89,IF(D154="ag-02",0.09,IF(D154="ld-11",0.82))))))))</f>
        <v>0.12</v>
      </c>
      <c r="G154" s="25">
        <f>E154*F154</f>
        <v>0.2988</v>
      </c>
      <c r="I154" s="95">
        <f>SUM(G154:G158,H159:H160)</f>
        <v>22.70126</v>
      </c>
      <c r="J154" s="5"/>
    </row>
    <row r="155" spans="1:10" s="1" customFormat="1" ht="15.75">
      <c r="A155" s="174" t="s">
        <v>557</v>
      </c>
      <c r="B155" s="24"/>
      <c r="C155" s="2" t="s">
        <v>287</v>
      </c>
      <c r="D155" s="2" t="s">
        <v>377</v>
      </c>
      <c r="E155" s="3">
        <v>2.82</v>
      </c>
      <c r="F155" s="14">
        <f>IF(D155="ag-01",0.12,IF(D155="ar-08",16,IF(D155="ar-03",12.03,IF(D155="ld-02",0.18,IF(D155="op-02",4.31,IF(D155="op-01",6.89,IF(D155="ag-02",0.09,IF(D155="ld-11",0.82))))))))</f>
        <v>0.09</v>
      </c>
      <c r="G155" s="25">
        <f>E155*F155</f>
        <v>0.25379999999999997</v>
      </c>
      <c r="I155" s="95"/>
      <c r="J155" s="5"/>
    </row>
    <row r="156" spans="1:10" s="1" customFormat="1" ht="15.75">
      <c r="A156" s="174" t="s">
        <v>559</v>
      </c>
      <c r="B156" s="24"/>
      <c r="C156" s="2" t="s">
        <v>357</v>
      </c>
      <c r="D156" s="2" t="s">
        <v>560</v>
      </c>
      <c r="E156" s="3">
        <v>0.012</v>
      </c>
      <c r="F156" s="14">
        <f>IF(D156="ag-01",0.12,IF(D156="ar-08",16,IF(D156="ar-03",12.03,IF(D156="ld-02",0.18,IF(D156="op-02",4.31,IF(D156="op-01",6.89,IF(D156="ag-02",0.09,IF(D156="ld-11",0.82))))))))</f>
        <v>12.03</v>
      </c>
      <c r="G156" s="25">
        <f>E156*F156</f>
        <v>0.14436</v>
      </c>
      <c r="I156" s="95"/>
      <c r="J156" s="5"/>
    </row>
    <row r="157" spans="1:10" s="1" customFormat="1" ht="15.75">
      <c r="A157" s="174" t="s">
        <v>778</v>
      </c>
      <c r="B157" s="24"/>
      <c r="C157" s="2" t="s">
        <v>357</v>
      </c>
      <c r="D157" s="2" t="s">
        <v>779</v>
      </c>
      <c r="E157" s="3">
        <v>0.004</v>
      </c>
      <c r="F157" s="14">
        <f>IF(D157="ag-01",0.12,IF(D157="ar-08",16,IF(D157="ar-03",12.03,IF(D157="ld-02",0.18,IF(D157="op-02",4.31,IF(D157="op-01",6.89,IF(D157="ag-02",0.09,IF(D157="ld-11",0.82))))))))</f>
        <v>16</v>
      </c>
      <c r="G157" s="25">
        <f>E157*F157</f>
        <v>0.064</v>
      </c>
      <c r="I157" s="95"/>
      <c r="J157" s="5"/>
    </row>
    <row r="158" spans="1:10" s="1" customFormat="1" ht="15.75">
      <c r="A158" s="174" t="s">
        <v>808</v>
      </c>
      <c r="B158" s="24"/>
      <c r="C158" s="2" t="s">
        <v>574</v>
      </c>
      <c r="D158" s="2" t="s">
        <v>809</v>
      </c>
      <c r="E158" s="3">
        <v>12.5</v>
      </c>
      <c r="F158" s="14">
        <f>IF(D158="ag-01",0.12,IF(D158="ar-08",16,IF(D158="ar-03",12.03,IF(D158="ld-02",0.18,IF(D158="op-02",4.31,IF(D158="op-01",6.89,IF(D158="ag-02",0.09,IF(D158="ld-11",0.82))))))))</f>
        <v>0.82</v>
      </c>
      <c r="G158" s="25">
        <f>E158*F158</f>
        <v>10.25</v>
      </c>
      <c r="I158" s="95"/>
      <c r="J158" s="5"/>
    </row>
    <row r="159" spans="1:10" s="1" customFormat="1" ht="15.75">
      <c r="A159" s="174" t="s">
        <v>289</v>
      </c>
      <c r="C159" s="2" t="s">
        <v>228</v>
      </c>
      <c r="D159" s="2" t="s">
        <v>290</v>
      </c>
      <c r="E159" s="3">
        <v>1.15</v>
      </c>
      <c r="F159" s="14">
        <f>+C282</f>
        <v>6.89</v>
      </c>
      <c r="H159" s="25">
        <f>E159*F159</f>
        <v>7.923499999999999</v>
      </c>
      <c r="I159" s="95"/>
      <c r="J159" s="5"/>
    </row>
    <row r="160" spans="1:10" s="1" customFormat="1" ht="15.75">
      <c r="A160" s="174" t="s">
        <v>227</v>
      </c>
      <c r="C160" s="2" t="s">
        <v>228</v>
      </c>
      <c r="D160" s="2" t="s">
        <v>229</v>
      </c>
      <c r="E160" s="3">
        <v>0.86</v>
      </c>
      <c r="F160" s="14">
        <f>+C283</f>
        <v>4.38</v>
      </c>
      <c r="H160" s="25">
        <f>E160*F160</f>
        <v>3.7668</v>
      </c>
      <c r="I160" s="95"/>
      <c r="J160" s="5"/>
    </row>
    <row r="161" spans="1:10" ht="16.5" thickBot="1">
      <c r="A161" s="90"/>
      <c r="B161" s="59"/>
      <c r="C161" s="7"/>
      <c r="D161" s="7"/>
      <c r="E161" s="8"/>
      <c r="F161" s="73"/>
      <c r="G161" s="252">
        <f>SUM(G154:G158)</f>
        <v>11.01096</v>
      </c>
      <c r="H161" s="67">
        <f>SUM(H159:H160)</f>
        <v>11.690299999999999</v>
      </c>
      <c r="I161" s="88"/>
      <c r="J161" s="11"/>
    </row>
    <row r="162" spans="1:10" ht="16.5" thickTop="1">
      <c r="A162" s="168">
        <v>9.15</v>
      </c>
      <c r="B162" s="77"/>
      <c r="C162" s="56"/>
      <c r="D162" s="56"/>
      <c r="E162" s="70"/>
      <c r="F162" s="139"/>
      <c r="G162" s="115"/>
      <c r="H162" s="115"/>
      <c r="I162" s="89"/>
      <c r="J162" s="71"/>
    </row>
    <row r="163" spans="1:10" s="1" customFormat="1" ht="15.75">
      <c r="A163" s="173" t="s">
        <v>790</v>
      </c>
      <c r="C163" s="2"/>
      <c r="D163" s="2"/>
      <c r="E163" s="3"/>
      <c r="F163" s="14"/>
      <c r="G163" s="85"/>
      <c r="H163" s="85"/>
      <c r="I163" s="95"/>
      <c r="J163" s="5"/>
    </row>
    <row r="164" spans="1:10" s="1" customFormat="1" ht="15.75">
      <c r="A164" s="173" t="s">
        <v>810</v>
      </c>
      <c r="C164" s="2"/>
      <c r="D164" s="2"/>
      <c r="E164" s="3"/>
      <c r="F164" s="14"/>
      <c r="G164" s="85"/>
      <c r="H164" s="85"/>
      <c r="I164" s="95"/>
      <c r="J164" s="5"/>
    </row>
    <row r="165" spans="1:10" s="1" customFormat="1" ht="15.75">
      <c r="A165" s="173" t="s">
        <v>811</v>
      </c>
      <c r="C165" s="2" t="s">
        <v>287</v>
      </c>
      <c r="D165" s="2" t="s">
        <v>664</v>
      </c>
      <c r="E165" s="3">
        <v>5.7</v>
      </c>
      <c r="F165" s="14">
        <f>IF(D165="ag-03",0.1,IF(D165="ar-08",16,IF(D165="ar-03",12.03,IF(D165="ld-02",0.18,IF(D165="op-02",4.31,IF(D165="op-01",6.89,IF(D165="ag-02",0.09,IF(D165="ld-10",0.69))))))))</f>
        <v>0.1</v>
      </c>
      <c r="G165" s="25">
        <f>E165*F165</f>
        <v>0.5700000000000001</v>
      </c>
      <c r="I165" s="95">
        <f>SUM(G165:G167,H168:H169)</f>
        <v>19.41697</v>
      </c>
      <c r="J165" s="5"/>
    </row>
    <row r="166" spans="1:10" s="1" customFormat="1" ht="15.75">
      <c r="A166" s="174" t="s">
        <v>559</v>
      </c>
      <c r="C166" s="2" t="s">
        <v>357</v>
      </c>
      <c r="D166" s="2" t="s">
        <v>560</v>
      </c>
      <c r="E166" s="3">
        <v>0.019</v>
      </c>
      <c r="F166" s="14">
        <f>IF(D166="ag-03",0.1,IF(D166="ar-08",16,IF(D166="ar-03",12.03,IF(D166="ld-02",0.18,IF(D166="op-02",4.31,IF(D166="op-01",6.89,IF(D166="ag-02",0.09,IF(D166="ld-10",0.69))))))))</f>
        <v>12.03</v>
      </c>
      <c r="G166" s="25">
        <f>E166*F166</f>
        <v>0.22857</v>
      </c>
      <c r="I166" s="95"/>
      <c r="J166" s="5"/>
    </row>
    <row r="167" spans="1:10" s="1" customFormat="1" ht="15.75">
      <c r="A167" s="174" t="s">
        <v>805</v>
      </c>
      <c r="C167" s="2" t="s">
        <v>574</v>
      </c>
      <c r="D167" s="2" t="s">
        <v>806</v>
      </c>
      <c r="E167" s="3">
        <v>12.5</v>
      </c>
      <c r="F167" s="14">
        <f>IF(D167="ag-03",0.1,IF(D167="ar-08",16,IF(D167="ar-03",12.03,IF(D167="ld-02",0.18,IF(D167="op-02",4.31,IF(D167="op-01",6.89,IF(D167="ag-02",0.09,IF(D167="ld-10",0.69))))))))</f>
        <v>0.69</v>
      </c>
      <c r="G167" s="25">
        <f>E167*F167</f>
        <v>8.625</v>
      </c>
      <c r="I167" s="95"/>
      <c r="J167" s="5"/>
    </row>
    <row r="168" spans="1:10" s="1" customFormat="1" ht="15.75">
      <c r="A168" s="174" t="s">
        <v>289</v>
      </c>
      <c r="C168" s="2" t="s">
        <v>228</v>
      </c>
      <c r="D168" s="2" t="s">
        <v>290</v>
      </c>
      <c r="E168" s="3">
        <v>0.98</v>
      </c>
      <c r="F168" s="14">
        <f>+C282</f>
        <v>6.89</v>
      </c>
      <c r="H168" s="25">
        <f>E168*F168</f>
        <v>6.752199999999999</v>
      </c>
      <c r="I168" s="95"/>
      <c r="J168" s="5"/>
    </row>
    <row r="169" spans="1:10" s="1" customFormat="1" ht="15.75">
      <c r="A169" s="174" t="s">
        <v>227</v>
      </c>
      <c r="C169" s="2" t="s">
        <v>228</v>
      </c>
      <c r="D169" s="2" t="s">
        <v>229</v>
      </c>
      <c r="E169" s="3">
        <v>0.74</v>
      </c>
      <c r="F169" s="14">
        <f>+C283</f>
        <v>4.38</v>
      </c>
      <c r="H169" s="25">
        <f>E169*F169</f>
        <v>3.2412</v>
      </c>
      <c r="I169" s="95"/>
      <c r="J169" s="5"/>
    </row>
    <row r="170" spans="1:10" ht="16.5" thickBot="1">
      <c r="A170" s="90"/>
      <c r="B170" s="59"/>
      <c r="C170" s="7"/>
      <c r="D170" s="7"/>
      <c r="E170" s="8"/>
      <c r="F170" s="73"/>
      <c r="G170" s="252">
        <f>SUM(G165:G167)</f>
        <v>9.42357</v>
      </c>
      <c r="H170" s="252">
        <f>SUM(H168:H169)</f>
        <v>9.9934</v>
      </c>
      <c r="I170" s="88"/>
      <c r="J170" s="11"/>
    </row>
    <row r="171" spans="1:10" ht="16.5" thickTop="1">
      <c r="A171" s="168">
        <v>9.16</v>
      </c>
      <c r="B171" s="77"/>
      <c r="C171" s="56"/>
      <c r="D171" s="56"/>
      <c r="E171" s="70"/>
      <c r="F171" s="139"/>
      <c r="G171" s="115"/>
      <c r="H171" s="115"/>
      <c r="I171" s="89"/>
      <c r="J171" s="71"/>
    </row>
    <row r="172" spans="1:10" s="1" customFormat="1" ht="15.75">
      <c r="A172" s="173" t="s">
        <v>790</v>
      </c>
      <c r="C172" s="2"/>
      <c r="D172" s="2"/>
      <c r="E172" s="3"/>
      <c r="F172" s="14"/>
      <c r="G172" s="85"/>
      <c r="H172" s="85"/>
      <c r="I172" s="95"/>
      <c r="J172" s="5"/>
    </row>
    <row r="173" spans="1:10" s="1" customFormat="1" ht="15.75">
      <c r="A173" s="173" t="s">
        <v>812</v>
      </c>
      <c r="C173" s="2"/>
      <c r="D173" s="2"/>
      <c r="E173" s="3"/>
      <c r="F173" s="14"/>
      <c r="G173" s="85"/>
      <c r="H173" s="85"/>
      <c r="I173" s="95"/>
      <c r="J173" s="5"/>
    </row>
    <row r="174" spans="1:10" s="1" customFormat="1" ht="15.75">
      <c r="A174" s="172" t="s">
        <v>813</v>
      </c>
      <c r="C174" s="2" t="s">
        <v>287</v>
      </c>
      <c r="D174" s="2" t="s">
        <v>664</v>
      </c>
      <c r="E174" s="3">
        <v>5.7</v>
      </c>
      <c r="F174" s="14">
        <f>IF(D174="ag-03",0.1,IF(D174="ar-08",16,IF(D174="ar-03",12.03,IF(D174="ld-02",0.18,IF(D174="op-02",4.31,IF(D174="op-01",6.89,IF(D174="ag-02",0.09,IF(D174="ld-12",0.92))))))))</f>
        <v>0.1</v>
      </c>
      <c r="G174" s="25">
        <f>E174*F174</f>
        <v>0.5700000000000001</v>
      </c>
      <c r="I174" s="95">
        <f>SUM(G174:G176,H177:H178)</f>
        <v>19.359569999999998</v>
      </c>
      <c r="J174" s="5"/>
    </row>
    <row r="175" spans="1:10" s="1" customFormat="1" ht="15.75">
      <c r="A175" s="174" t="s">
        <v>559</v>
      </c>
      <c r="C175" s="2" t="s">
        <v>357</v>
      </c>
      <c r="D175" s="2" t="s">
        <v>560</v>
      </c>
      <c r="E175" s="3">
        <v>0.019</v>
      </c>
      <c r="F175" s="14">
        <f>IF(D175="ag-03",0.1,IF(D175="ar-08",16,IF(D175="ar-03",12.03,IF(D175="ld-02",0.18,IF(D175="op-02",4.31,IF(D175="op-01",6.89,IF(D175="ag-02",0.09,IF(D175="ld-12",0.92))))))))</f>
        <v>12.03</v>
      </c>
      <c r="G175" s="25">
        <f>E175*F175</f>
        <v>0.22857</v>
      </c>
      <c r="I175" s="95"/>
      <c r="J175" s="5"/>
    </row>
    <row r="176" spans="1:10" s="1" customFormat="1" ht="15.75">
      <c r="A176" s="174" t="s">
        <v>814</v>
      </c>
      <c r="C176" s="2" t="s">
        <v>574</v>
      </c>
      <c r="D176" s="2" t="s">
        <v>815</v>
      </c>
      <c r="E176" s="3">
        <v>10</v>
      </c>
      <c r="F176" s="14">
        <f>IF(D176="ag-03",0.1,IF(D176="ar-08",16,IF(D176="ar-03",12.03,IF(D176="ld-02",0.18,IF(D176="op-02",4.31,IF(D176="op-01",6.89,IF(D176="ag-02",0.09,IF(D176="ld-12",0.92))))))))</f>
        <v>0.92</v>
      </c>
      <c r="G176" s="25">
        <f>E176*F176</f>
        <v>9.200000000000001</v>
      </c>
      <c r="I176" s="95"/>
      <c r="J176" s="5"/>
    </row>
    <row r="177" spans="1:10" s="1" customFormat="1" ht="15.75">
      <c r="A177" s="174" t="s">
        <v>289</v>
      </c>
      <c r="C177" s="2" t="s">
        <v>228</v>
      </c>
      <c r="D177" s="2" t="s">
        <v>290</v>
      </c>
      <c r="E177" s="3">
        <v>0.92</v>
      </c>
      <c r="F177" s="14">
        <f>+C282</f>
        <v>6.89</v>
      </c>
      <c r="H177" s="25">
        <f>E177*F177</f>
        <v>6.3388</v>
      </c>
      <c r="I177" s="95"/>
      <c r="J177" s="5"/>
    </row>
    <row r="178" spans="1:10" s="1" customFormat="1" ht="15.75">
      <c r="A178" s="174" t="s">
        <v>227</v>
      </c>
      <c r="C178" s="2" t="s">
        <v>228</v>
      </c>
      <c r="D178" s="2" t="s">
        <v>229</v>
      </c>
      <c r="E178" s="3">
        <v>0.69</v>
      </c>
      <c r="F178" s="14">
        <f>+C283</f>
        <v>4.38</v>
      </c>
      <c r="H178" s="25">
        <f>E178*F178</f>
        <v>3.0221999999999998</v>
      </c>
      <c r="I178" s="95"/>
      <c r="J178" s="5"/>
    </row>
    <row r="179" spans="1:10" ht="16.5" thickBot="1">
      <c r="A179" s="90"/>
      <c r="B179" s="59"/>
      <c r="C179" s="7"/>
      <c r="D179" s="7"/>
      <c r="E179" s="8"/>
      <c r="F179" s="73"/>
      <c r="G179" s="252">
        <f>SUM(G174:G176)</f>
        <v>9.99857</v>
      </c>
      <c r="H179" s="252">
        <f>SUM(H177:H178)</f>
        <v>9.361</v>
      </c>
      <c r="I179" s="88"/>
      <c r="J179" s="11"/>
    </row>
    <row r="180" spans="1:10" ht="16.5" thickTop="1">
      <c r="A180" s="168">
        <v>9.17</v>
      </c>
      <c r="B180" s="77"/>
      <c r="C180" s="56"/>
      <c r="D180" s="56"/>
      <c r="E180" s="70"/>
      <c r="F180" s="139"/>
      <c r="G180" s="115"/>
      <c r="H180" s="115"/>
      <c r="I180" s="89"/>
      <c r="J180" s="71"/>
    </row>
    <row r="181" spans="1:10" s="1" customFormat="1" ht="15.75">
      <c r="A181" s="173" t="s">
        <v>790</v>
      </c>
      <c r="C181" s="2"/>
      <c r="D181" s="2"/>
      <c r="E181" s="3"/>
      <c r="F181" s="14"/>
      <c r="G181" s="85"/>
      <c r="H181" s="85"/>
      <c r="I181" s="95"/>
      <c r="J181" s="5"/>
    </row>
    <row r="182" spans="1:10" s="1" customFormat="1" ht="15.75">
      <c r="A182" s="173" t="s">
        <v>816</v>
      </c>
      <c r="C182" s="2"/>
      <c r="D182" s="2"/>
      <c r="E182" s="3"/>
      <c r="F182" s="14"/>
      <c r="G182" s="85"/>
      <c r="H182" s="85"/>
      <c r="I182" s="95"/>
      <c r="J182" s="5"/>
    </row>
    <row r="183" spans="1:10" s="1" customFormat="1" ht="15.75">
      <c r="A183" s="172" t="s">
        <v>811</v>
      </c>
      <c r="C183" s="2" t="s">
        <v>287</v>
      </c>
      <c r="D183" s="2" t="s">
        <v>664</v>
      </c>
      <c r="E183" s="3">
        <v>4.56</v>
      </c>
      <c r="F183" s="14">
        <f>IF(D183="ag-03",0.1,IF(D183="ar-08",16,IF(D183="ar-03",12.03,IF(D183="ld-02",0.18,IF(D183="op-02",4.31,IF(D183="op-01",6.89,IF(D183="ag-02",0.09,IF(D183="ld-13",0.21))))))))</f>
        <v>0.1</v>
      </c>
      <c r="G183" s="25">
        <f>E183*F183</f>
        <v>0.45599999999999996</v>
      </c>
      <c r="I183" s="95">
        <f>SUM(G183:G185,H186:H187)</f>
        <v>19.33245</v>
      </c>
      <c r="J183" s="5"/>
    </row>
    <row r="184" spans="1:10" s="1" customFormat="1" ht="15.75">
      <c r="A184" s="174" t="s">
        <v>559</v>
      </c>
      <c r="C184" s="2" t="s">
        <v>357</v>
      </c>
      <c r="D184" s="2" t="s">
        <v>560</v>
      </c>
      <c r="E184" s="3">
        <v>0.015</v>
      </c>
      <c r="F184" s="14">
        <f>IF(D184="ag-03",0.1,IF(D184="ar-08",16,IF(D184="ar-03",12.03,IF(D184="ld-02",0.18,IF(D184="op-02",4.31,IF(D184="op-01",6.89,IF(D184="ag-02",0.09,IF(D184="ld-13",0.21))))))))</f>
        <v>12.03</v>
      </c>
      <c r="G184" s="25">
        <f>E184*F184</f>
        <v>0.18044999999999997</v>
      </c>
      <c r="I184" s="95"/>
      <c r="J184" s="5"/>
    </row>
    <row r="185" spans="1:10" s="1" customFormat="1" ht="15.75">
      <c r="A185" s="174" t="s">
        <v>817</v>
      </c>
      <c r="C185" s="2" t="s">
        <v>574</v>
      </c>
      <c r="D185" s="2" t="s">
        <v>818</v>
      </c>
      <c r="E185" s="3">
        <v>8</v>
      </c>
      <c r="F185" s="14">
        <v>1.21</v>
      </c>
      <c r="G185" s="25">
        <f>E185*F185</f>
        <v>9.68</v>
      </c>
      <c r="I185" s="95"/>
      <c r="J185" s="5"/>
    </row>
    <row r="186" spans="1:10" s="1" customFormat="1" ht="15.75">
      <c r="A186" s="174" t="s">
        <v>289</v>
      </c>
      <c r="C186" s="2" t="s">
        <v>228</v>
      </c>
      <c r="D186" s="2" t="s">
        <v>290</v>
      </c>
      <c r="E186" s="3">
        <v>0.8</v>
      </c>
      <c r="F186" s="14">
        <f>+C282</f>
        <v>6.89</v>
      </c>
      <c r="H186" s="25">
        <f>E186*F186</f>
        <v>5.5120000000000005</v>
      </c>
      <c r="I186" s="95"/>
      <c r="J186" s="5"/>
    </row>
    <row r="187" spans="1:10" s="1" customFormat="1" ht="15.75">
      <c r="A187" s="174" t="s">
        <v>227</v>
      </c>
      <c r="C187" s="2" t="s">
        <v>228</v>
      </c>
      <c r="D187" s="2" t="s">
        <v>229</v>
      </c>
      <c r="E187" s="3">
        <v>0.8</v>
      </c>
      <c r="F187" s="14">
        <f>+C283</f>
        <v>4.38</v>
      </c>
      <c r="H187" s="25">
        <f>E187*F187</f>
        <v>3.504</v>
      </c>
      <c r="I187" s="95"/>
      <c r="J187" s="5"/>
    </row>
    <row r="188" spans="1:10" ht="16.5" thickBot="1">
      <c r="A188" s="90"/>
      <c r="B188" s="59"/>
      <c r="C188" s="7"/>
      <c r="D188" s="7"/>
      <c r="E188" s="8"/>
      <c r="F188" s="73"/>
      <c r="G188" s="252">
        <f>SUM(G183:G185)</f>
        <v>10.31645</v>
      </c>
      <c r="H188" s="67">
        <f>SUM(H186:H187)</f>
        <v>9.016</v>
      </c>
      <c r="I188" s="88"/>
      <c r="J188" s="11"/>
    </row>
    <row r="189" spans="1:10" ht="16.5" thickTop="1">
      <c r="A189" s="168">
        <v>9.18</v>
      </c>
      <c r="B189" s="77"/>
      <c r="C189" s="56"/>
      <c r="D189" s="56"/>
      <c r="E189" s="70"/>
      <c r="F189" s="139"/>
      <c r="G189" s="115"/>
      <c r="H189" s="115"/>
      <c r="I189" s="89"/>
      <c r="J189" s="71"/>
    </row>
    <row r="190" spans="1:10" s="1" customFormat="1" ht="15.75">
      <c r="A190" s="173" t="s">
        <v>797</v>
      </c>
      <c r="C190" s="2"/>
      <c r="D190" s="2"/>
      <c r="E190" s="3"/>
      <c r="F190" s="14"/>
      <c r="G190" s="85"/>
      <c r="H190" s="85"/>
      <c r="I190" s="95"/>
      <c r="J190" s="5"/>
    </row>
    <row r="191" spans="1:10" s="1" customFormat="1" ht="15.75">
      <c r="A191" s="173" t="s">
        <v>819</v>
      </c>
      <c r="C191" s="2"/>
      <c r="D191" s="2"/>
      <c r="E191" s="3"/>
      <c r="F191" s="14"/>
      <c r="G191" s="85"/>
      <c r="H191" s="85"/>
      <c r="I191" s="95"/>
      <c r="J191" s="5"/>
    </row>
    <row r="192" spans="1:10" s="1" customFormat="1" ht="15.75">
      <c r="A192" s="172" t="s">
        <v>811</v>
      </c>
      <c r="C192" s="2" t="s">
        <v>287</v>
      </c>
      <c r="D192" s="2" t="s">
        <v>664</v>
      </c>
      <c r="E192" s="3">
        <v>5.7</v>
      </c>
      <c r="F192" s="14">
        <f>IF(D192="ag-03",0.1,IF(D192="ar-08",16,IF(D192="ar-03",12.03,IF(D192="ld-02",0.18,IF(D192="op-02",4.31,IF(D192="op-01",6.89,IF(D192="ag-02",0.09,IF(D192="ld-11",0.82))))))))</f>
        <v>0.1</v>
      </c>
      <c r="G192" s="25">
        <f>E192*F192</f>
        <v>0.5700000000000001</v>
      </c>
      <c r="I192" s="95">
        <f>SUM(G192:G194,H195:H196)</f>
        <v>22.73887</v>
      </c>
      <c r="J192" s="5"/>
    </row>
    <row r="193" spans="1:10" s="1" customFormat="1" ht="15.75">
      <c r="A193" s="174" t="s">
        <v>559</v>
      </c>
      <c r="C193" s="2" t="s">
        <v>357</v>
      </c>
      <c r="D193" s="2" t="s">
        <v>560</v>
      </c>
      <c r="E193" s="3">
        <v>0.019</v>
      </c>
      <c r="F193" s="14">
        <f>IF(D193="ag-03",0.1,IF(D193="ar-08",16,IF(D193="ar-03",12.03,IF(D193="ld-02",0.18,IF(D193="op-02",4.31,IF(D193="op-01",6.89,IF(D193="ag-02",0.09,IF(D193="ld-11",0.82))))))))</f>
        <v>12.03</v>
      </c>
      <c r="G193" s="25">
        <f>E193*F193</f>
        <v>0.22857</v>
      </c>
      <c r="I193" s="95"/>
      <c r="J193" s="5"/>
    </row>
    <row r="194" spans="1:10" s="1" customFormat="1" ht="15.75">
      <c r="A194" s="174" t="s">
        <v>808</v>
      </c>
      <c r="C194" s="2" t="s">
        <v>574</v>
      </c>
      <c r="D194" s="2" t="s">
        <v>809</v>
      </c>
      <c r="E194" s="3">
        <v>12.5</v>
      </c>
      <c r="F194" s="14">
        <f>IF(D194="ag-03",0.1,IF(D194="ar-08",16,IF(D194="ar-03",12.03,IF(D194="ld-02",0.18,IF(D194="op-02",4.31,IF(D194="op-01",6.89,IF(D194="ag-02",0.09,IF(D194="ld-11",0.82))))))))</f>
        <v>0.82</v>
      </c>
      <c r="G194" s="25">
        <f>E194*F194</f>
        <v>10.25</v>
      </c>
      <c r="I194" s="95"/>
      <c r="J194" s="5"/>
    </row>
    <row r="195" spans="1:10" s="1" customFormat="1" ht="15.75">
      <c r="A195" s="174" t="s">
        <v>289</v>
      </c>
      <c r="C195" s="2" t="s">
        <v>228</v>
      </c>
      <c r="D195" s="2" t="s">
        <v>290</v>
      </c>
      <c r="E195" s="3">
        <v>1.15</v>
      </c>
      <c r="F195" s="14">
        <f>+C282</f>
        <v>6.89</v>
      </c>
      <c r="H195" s="25">
        <f>E195*F195</f>
        <v>7.923499999999999</v>
      </c>
      <c r="I195" s="95"/>
      <c r="J195" s="5"/>
    </row>
    <row r="196" spans="1:10" s="1" customFormat="1" ht="15.75">
      <c r="A196" s="174" t="s">
        <v>227</v>
      </c>
      <c r="C196" s="2" t="s">
        <v>228</v>
      </c>
      <c r="D196" s="2" t="s">
        <v>229</v>
      </c>
      <c r="E196" s="3">
        <v>0.86</v>
      </c>
      <c r="F196" s="14">
        <f>+C283</f>
        <v>4.38</v>
      </c>
      <c r="H196" s="25">
        <f>E196*F196</f>
        <v>3.7668</v>
      </c>
      <c r="I196" s="95"/>
      <c r="J196" s="5"/>
    </row>
    <row r="197" spans="1:10" ht="16.5" thickBot="1">
      <c r="A197" s="90"/>
      <c r="B197" s="59"/>
      <c r="C197" s="7"/>
      <c r="D197" s="7"/>
      <c r="E197" s="8"/>
      <c r="F197" s="73"/>
      <c r="G197" s="252">
        <f>SUM(G192:G194)</f>
        <v>11.04857</v>
      </c>
      <c r="H197" s="67">
        <f>SUM(H195:H196)</f>
        <v>11.690299999999999</v>
      </c>
      <c r="I197" s="88"/>
      <c r="J197" s="11"/>
    </row>
    <row r="198" spans="1:10" ht="16.5" thickTop="1">
      <c r="A198" s="168">
        <v>9.19</v>
      </c>
      <c r="B198" s="77"/>
      <c r="C198" s="56"/>
      <c r="D198" s="56"/>
      <c r="E198" s="70"/>
      <c r="F198" s="139"/>
      <c r="G198" s="115"/>
      <c r="H198" s="115"/>
      <c r="I198" s="89"/>
      <c r="J198" s="71"/>
    </row>
    <row r="199" spans="1:10" s="1" customFormat="1" ht="15.75">
      <c r="A199" s="173" t="s">
        <v>797</v>
      </c>
      <c r="C199" s="2"/>
      <c r="D199" s="2"/>
      <c r="E199" s="3"/>
      <c r="F199" s="14"/>
      <c r="G199" s="85"/>
      <c r="H199" s="85"/>
      <c r="I199" s="95"/>
      <c r="J199" s="5"/>
    </row>
    <row r="200" spans="1:10" s="1" customFormat="1" ht="15.75">
      <c r="A200" s="173" t="s">
        <v>820</v>
      </c>
      <c r="C200" s="2"/>
      <c r="D200" s="2"/>
      <c r="E200" s="3"/>
      <c r="F200" s="14"/>
      <c r="G200" s="85"/>
      <c r="H200" s="85"/>
      <c r="I200" s="95"/>
      <c r="J200" s="5"/>
    </row>
    <row r="201" spans="1:10" s="1" customFormat="1" ht="15.75">
      <c r="A201" s="172" t="s">
        <v>811</v>
      </c>
      <c r="C201" s="2" t="s">
        <v>287</v>
      </c>
      <c r="D201" s="2" t="s">
        <v>664</v>
      </c>
      <c r="E201" s="3">
        <v>5.7</v>
      </c>
      <c r="F201" s="14">
        <f>IF(D201="ag-03",0.1,IF(D201="ar-08",16,IF(D201="ar-03",12.03,IF(D201="ld-02",0.18,IF(D201="op-02",4.31,IF(D201="op-01",6.89,IF(D201="ag-02",0.09,IF(D201="ld-15",1.2))))))))</f>
        <v>0.1</v>
      </c>
      <c r="G201" s="25">
        <f>E201*F201</f>
        <v>0.5700000000000001</v>
      </c>
      <c r="I201" s="95">
        <f>SUM(G201:G203,H204:H205)</f>
        <v>24.068569999999998</v>
      </c>
      <c r="J201" s="5"/>
    </row>
    <row r="202" spans="1:10" s="1" customFormat="1" ht="15.75">
      <c r="A202" s="174" t="s">
        <v>559</v>
      </c>
      <c r="C202" s="2" t="s">
        <v>357</v>
      </c>
      <c r="D202" s="2" t="s">
        <v>560</v>
      </c>
      <c r="E202" s="3">
        <v>0.019</v>
      </c>
      <c r="F202" s="14">
        <f>IF(D202="ag-03",0.1,IF(D202="ar-08",16,IF(D202="ar-03",12.03,IF(D202="ld-02",0.18,IF(D202="op-02",4.31,IF(D202="op-01",6.89,IF(D202="ag-02",0.09,IF(D202="ld-15",1.2))))))))</f>
        <v>12.03</v>
      </c>
      <c r="G202" s="25">
        <f>E202*F202</f>
        <v>0.22857</v>
      </c>
      <c r="I202" s="95"/>
      <c r="J202" s="5"/>
    </row>
    <row r="203" spans="1:10" s="1" customFormat="1" ht="15.75">
      <c r="A203" s="174" t="s">
        <v>821</v>
      </c>
      <c r="B203" s="24"/>
      <c r="C203" s="2" t="s">
        <v>574</v>
      </c>
      <c r="D203" s="2" t="s">
        <v>822</v>
      </c>
      <c r="E203" s="3">
        <v>10</v>
      </c>
      <c r="F203" s="14">
        <f>IF(D203="ag-03",0.1,IF(D203="ar-08",16,IF(D203="ar-03",12.03,IF(D203="ld-02",0.18,IF(D203="op-02",4.31,IF(D203="op-01",6.89,IF(D203="ag-02",0.09,IF(D203="ld-15",1.2))))))))</f>
        <v>1.2</v>
      </c>
      <c r="G203" s="25">
        <f>E203*F203</f>
        <v>12</v>
      </c>
      <c r="I203" s="95"/>
      <c r="J203" s="5"/>
    </row>
    <row r="204" spans="1:10" s="1" customFormat="1" ht="15.75">
      <c r="A204" s="174" t="s">
        <v>289</v>
      </c>
      <c r="B204" s="24"/>
      <c r="C204" s="2" t="s">
        <v>228</v>
      </c>
      <c r="D204" s="2" t="s">
        <v>290</v>
      </c>
      <c r="E204" s="3">
        <v>1</v>
      </c>
      <c r="F204" s="14">
        <f>+C282</f>
        <v>6.89</v>
      </c>
      <c r="H204" s="25">
        <f>E204*F204</f>
        <v>6.89</v>
      </c>
      <c r="I204" s="95"/>
      <c r="J204" s="5"/>
    </row>
    <row r="205" spans="1:10" s="1" customFormat="1" ht="15.75">
      <c r="A205" s="174" t="s">
        <v>227</v>
      </c>
      <c r="B205" s="24"/>
      <c r="C205" s="2" t="s">
        <v>228</v>
      </c>
      <c r="D205" s="2" t="s">
        <v>229</v>
      </c>
      <c r="E205" s="3">
        <v>1</v>
      </c>
      <c r="F205" s="14">
        <f>+C283</f>
        <v>4.38</v>
      </c>
      <c r="H205" s="25">
        <f>E205*F205</f>
        <v>4.38</v>
      </c>
      <c r="I205" s="95"/>
      <c r="J205" s="5"/>
    </row>
    <row r="206" spans="1:10" ht="16.5" thickBot="1">
      <c r="A206" s="90"/>
      <c r="B206" s="72"/>
      <c r="C206" s="7"/>
      <c r="D206" s="7"/>
      <c r="E206" s="8"/>
      <c r="F206" s="73"/>
      <c r="G206" s="252">
        <f>SUM(G201:G203)</f>
        <v>12.79857</v>
      </c>
      <c r="H206" s="67">
        <f>SUM(H204:H205)</f>
        <v>11.27</v>
      </c>
      <c r="I206" s="88"/>
      <c r="J206" s="11"/>
    </row>
    <row r="207" spans="1:10" ht="16.5" thickTop="1">
      <c r="A207" s="176">
        <v>9.2</v>
      </c>
      <c r="B207" s="113"/>
      <c r="C207" s="56"/>
      <c r="D207" s="56"/>
      <c r="E207" s="70"/>
      <c r="F207" s="139"/>
      <c r="G207" s="115"/>
      <c r="H207" s="115"/>
      <c r="I207" s="89"/>
      <c r="J207" s="71"/>
    </row>
    <row r="208" spans="1:10" s="1" customFormat="1" ht="15.75">
      <c r="A208" s="177" t="s">
        <v>797</v>
      </c>
      <c r="B208" s="24"/>
      <c r="C208" s="2"/>
      <c r="D208" s="2"/>
      <c r="E208" s="3"/>
      <c r="F208" s="14"/>
      <c r="G208" s="85"/>
      <c r="H208" s="85"/>
      <c r="I208" s="95"/>
      <c r="J208" s="5"/>
    </row>
    <row r="209" spans="1:10" s="1" customFormat="1" ht="15.75">
      <c r="A209" s="177" t="s">
        <v>823</v>
      </c>
      <c r="B209" s="24"/>
      <c r="C209" s="2"/>
      <c r="D209" s="2"/>
      <c r="E209" s="3"/>
      <c r="F209" s="14"/>
      <c r="G209" s="85"/>
      <c r="H209" s="85"/>
      <c r="I209" s="95"/>
      <c r="J209" s="5"/>
    </row>
    <row r="210" spans="1:10" s="1" customFormat="1" ht="15.75">
      <c r="A210" s="177" t="s">
        <v>824</v>
      </c>
      <c r="B210" s="24"/>
      <c r="C210" s="2" t="s">
        <v>287</v>
      </c>
      <c r="D210" s="2" t="s">
        <v>664</v>
      </c>
      <c r="E210" s="3">
        <v>4.56</v>
      </c>
      <c r="F210" s="14">
        <f>IF(D210="ag-03",0.1,IF(D210="ar-08",16,IF(D210="ar-03",12.03,IF(D210="ld-02",0.18,IF(D210="op-02",4.31,IF(D210="op-01",6.89,IF(D210="ag-02",0.09,IF(D210="ld-16",1.52))))))))</f>
        <v>0.1</v>
      </c>
      <c r="G210" s="25">
        <f>E210*F210</f>
        <v>0.45599999999999996</v>
      </c>
      <c r="I210" s="95">
        <f>SUM(G210:G212,H213:H214)</f>
        <v>22.71405</v>
      </c>
      <c r="J210" s="5"/>
    </row>
    <row r="211" spans="1:10" s="1" customFormat="1" ht="15.75">
      <c r="A211" s="174" t="s">
        <v>559</v>
      </c>
      <c r="B211" s="24"/>
      <c r="C211" s="2" t="s">
        <v>357</v>
      </c>
      <c r="D211" s="2" t="s">
        <v>560</v>
      </c>
      <c r="E211" s="3">
        <v>0.015</v>
      </c>
      <c r="F211" s="14">
        <f>IF(D211="ag-03",0.1,IF(D211="ar-08",16,IF(D211="ar-03",12.03,IF(D211="ld-02",0.18,IF(D211="op-02",4.31,IF(D211="op-01",6.89,IF(D211="ag-02",0.09,IF(D211="ld-16",1.52))))))))</f>
        <v>12.03</v>
      </c>
      <c r="G211" s="25">
        <f>E211*F211</f>
        <v>0.18044999999999997</v>
      </c>
      <c r="I211" s="95"/>
      <c r="J211" s="5"/>
    </row>
    <row r="212" spans="1:10" s="1" customFormat="1" ht="15.75">
      <c r="A212" s="174" t="s">
        <v>825</v>
      </c>
      <c r="B212" s="24"/>
      <c r="C212" s="2" t="s">
        <v>574</v>
      </c>
      <c r="D212" s="2" t="s">
        <v>826</v>
      </c>
      <c r="E212" s="3">
        <v>8</v>
      </c>
      <c r="F212" s="14">
        <f>IF(D212="ag-03",0.1,IF(D212="ar-08",16,IF(D212="ar-03",12.03,IF(D212="ld-02",0.18,IF(D212="op-02",4.31,IF(D212="op-01",6.89,IF(D212="ag-02",0.09,IF(D212="ld-16",1.52))))))))</f>
        <v>1.52</v>
      </c>
      <c r="G212" s="25">
        <f>E212*F212</f>
        <v>12.16</v>
      </c>
      <c r="I212" s="95"/>
      <c r="J212" s="5"/>
    </row>
    <row r="213" spans="1:10" s="1" customFormat="1" ht="15.75">
      <c r="A213" s="174" t="s">
        <v>289</v>
      </c>
      <c r="B213" s="24"/>
      <c r="C213" s="2" t="s">
        <v>228</v>
      </c>
      <c r="D213" s="2" t="s">
        <v>290</v>
      </c>
      <c r="E213" s="3">
        <v>0.88</v>
      </c>
      <c r="F213" s="14">
        <f>+C282</f>
        <v>6.89</v>
      </c>
      <c r="H213" s="25">
        <f>E213*F213</f>
        <v>6.0632</v>
      </c>
      <c r="I213" s="95"/>
      <c r="J213" s="5"/>
    </row>
    <row r="214" spans="1:10" s="1" customFormat="1" ht="15.75">
      <c r="A214" s="174" t="s">
        <v>227</v>
      </c>
      <c r="B214" s="24"/>
      <c r="C214" s="2" t="s">
        <v>228</v>
      </c>
      <c r="D214" s="2" t="s">
        <v>229</v>
      </c>
      <c r="E214" s="3">
        <v>0.88</v>
      </c>
      <c r="F214" s="14">
        <f>+C283</f>
        <v>4.38</v>
      </c>
      <c r="H214" s="25">
        <f>E214*F214</f>
        <v>3.8544</v>
      </c>
      <c r="I214" s="95"/>
      <c r="J214" s="5"/>
    </row>
    <row r="215" spans="1:10" ht="16.5" thickBot="1">
      <c r="A215" s="90"/>
      <c r="B215" s="72"/>
      <c r="C215" s="7"/>
      <c r="D215" s="7"/>
      <c r="E215" s="8"/>
      <c r="F215" s="73"/>
      <c r="G215" s="252">
        <f>SUM(G210:G212)</f>
        <v>12.79645</v>
      </c>
      <c r="H215" s="252">
        <f>SUM(H213:H214)</f>
        <v>9.9176</v>
      </c>
      <c r="I215" s="88"/>
      <c r="J215" s="11"/>
    </row>
    <row r="216" spans="1:10" ht="16.5" thickTop="1">
      <c r="A216" s="168">
        <v>9.21</v>
      </c>
      <c r="B216" s="113"/>
      <c r="C216" s="56"/>
      <c r="D216" s="56"/>
      <c r="E216" s="70"/>
      <c r="F216" s="139"/>
      <c r="G216" s="115"/>
      <c r="H216" s="115"/>
      <c r="I216" s="89"/>
      <c r="J216" s="71"/>
    </row>
    <row r="217" spans="1:10" s="1" customFormat="1" ht="15.75">
      <c r="A217" s="173" t="s">
        <v>827</v>
      </c>
      <c r="B217" s="24"/>
      <c r="C217" s="2"/>
      <c r="D217" s="2"/>
      <c r="E217" s="3"/>
      <c r="F217" s="14"/>
      <c r="G217" s="85"/>
      <c r="H217" s="85"/>
      <c r="I217" s="95"/>
      <c r="J217" s="5"/>
    </row>
    <row r="218" spans="1:10" s="1" customFormat="1" ht="15.75">
      <c r="A218" s="173" t="s">
        <v>828</v>
      </c>
      <c r="B218" s="24"/>
      <c r="C218" s="2"/>
      <c r="D218" s="2"/>
      <c r="E218" s="3"/>
      <c r="F218" s="14"/>
      <c r="G218" s="85"/>
      <c r="H218" s="85"/>
      <c r="I218" s="95"/>
      <c r="J218" s="5"/>
    </row>
    <row r="219" spans="1:10" s="1" customFormat="1" ht="15.75">
      <c r="A219" s="172" t="s">
        <v>829</v>
      </c>
      <c r="B219" s="24"/>
      <c r="C219" s="2" t="s">
        <v>287</v>
      </c>
      <c r="D219" s="2" t="s">
        <v>664</v>
      </c>
      <c r="E219" s="3">
        <v>4.56</v>
      </c>
      <c r="F219" s="14">
        <f>IF(D219="ag-03",0.1,IF(D219="ar-08",16,IF(D219="ar-03",12.03,IF(D219="ld-02",0.18,IF(D219="op-02",4.31,IF(D219="op-01",6.89,IF(D219="ag-02",0.09,IF(D219="ld-17",0.56))))))))</f>
        <v>0.1</v>
      </c>
      <c r="G219" s="25">
        <f>E219*F219</f>
        <v>0.45599999999999996</v>
      </c>
      <c r="I219" s="95">
        <f>SUM(G219:G221,H222:H223)</f>
        <v>18.21845</v>
      </c>
      <c r="J219" s="5"/>
    </row>
    <row r="220" spans="1:10" s="1" customFormat="1" ht="15.75">
      <c r="A220" s="174" t="s">
        <v>559</v>
      </c>
      <c r="B220" s="24"/>
      <c r="C220" s="2" t="s">
        <v>357</v>
      </c>
      <c r="D220" s="2" t="s">
        <v>560</v>
      </c>
      <c r="E220" s="3">
        <v>0.015</v>
      </c>
      <c r="F220" s="14">
        <f>IF(D220="ag-03",0.1,IF(D220="ar-08",16,IF(D220="ar-03",12.03,IF(D220="ld-02",0.18,IF(D220="op-02",4.31,IF(D220="op-01",6.89,IF(D220="ag-02",0.09,IF(D220="ld-17",0.56))))))))</f>
        <v>12.03</v>
      </c>
      <c r="G220" s="25">
        <f>E220*F220</f>
        <v>0.18044999999999997</v>
      </c>
      <c r="I220" s="95"/>
      <c r="J220" s="5"/>
    </row>
    <row r="221" spans="1:10" s="1" customFormat="1" ht="15.75">
      <c r="A221" s="174" t="s">
        <v>830</v>
      </c>
      <c r="B221" s="24"/>
      <c r="C221" s="2" t="s">
        <v>574</v>
      </c>
      <c r="D221" s="2" t="s">
        <v>831</v>
      </c>
      <c r="E221" s="3">
        <v>12.5</v>
      </c>
      <c r="F221" s="14">
        <f>IF(D221="ag-03",0.1,IF(D221="ar-08",16,IF(D221="ar-03",12.03,IF(D221="ld-02",0.18,IF(D221="op-02",4.31,IF(D221="op-01",6.89,IF(D221="ag-02",0.09,IF(D221="ld-17",0.56))))))))</f>
        <v>0.56</v>
      </c>
      <c r="G221" s="25">
        <f>E221*F221</f>
        <v>7.000000000000001</v>
      </c>
      <c r="I221" s="95"/>
      <c r="J221" s="5"/>
    </row>
    <row r="222" spans="1:10" s="1" customFormat="1" ht="15.75">
      <c r="A222" s="174" t="s">
        <v>289</v>
      </c>
      <c r="B222" s="24"/>
      <c r="C222" s="2" t="s">
        <v>228</v>
      </c>
      <c r="D222" s="2" t="s">
        <v>290</v>
      </c>
      <c r="E222" s="3">
        <v>1.04</v>
      </c>
      <c r="F222" s="14">
        <f>+C282</f>
        <v>6.89</v>
      </c>
      <c r="H222" s="25">
        <f>E222*F222</f>
        <v>7.1655999999999995</v>
      </c>
      <c r="I222" s="95"/>
      <c r="J222" s="5"/>
    </row>
    <row r="223" spans="1:10" s="1" customFormat="1" ht="15.75">
      <c r="A223" s="174" t="s">
        <v>227</v>
      </c>
      <c r="B223" s="24"/>
      <c r="C223" s="2" t="s">
        <v>228</v>
      </c>
      <c r="D223" s="2" t="s">
        <v>229</v>
      </c>
      <c r="E223" s="3">
        <v>0.78</v>
      </c>
      <c r="F223" s="14">
        <f>+C283</f>
        <v>4.38</v>
      </c>
      <c r="H223" s="25">
        <f>E223*F223</f>
        <v>3.4164</v>
      </c>
      <c r="I223" s="95"/>
      <c r="J223" s="5"/>
    </row>
    <row r="224" spans="1:10" ht="16.5" thickBot="1">
      <c r="A224" s="90"/>
      <c r="B224" s="72"/>
      <c r="C224" s="7"/>
      <c r="D224" s="7"/>
      <c r="E224" s="8"/>
      <c r="F224" s="73"/>
      <c r="G224" s="252">
        <f>SUM(G219:G221)</f>
        <v>7.636450000000001</v>
      </c>
      <c r="H224" s="67">
        <f>SUM(H222:H223)</f>
        <v>10.581999999999999</v>
      </c>
      <c r="I224" s="88"/>
      <c r="J224" s="11"/>
    </row>
    <row r="225" spans="1:10" ht="16.5" thickTop="1">
      <c r="A225" s="168">
        <v>9.22</v>
      </c>
      <c r="B225" s="113"/>
      <c r="C225" s="56"/>
      <c r="D225" s="56"/>
      <c r="E225" s="70"/>
      <c r="F225" s="139"/>
      <c r="G225" s="115"/>
      <c r="H225" s="115"/>
      <c r="I225" s="89"/>
      <c r="J225" s="71"/>
    </row>
    <row r="226" spans="1:10" s="1" customFormat="1" ht="15.75">
      <c r="A226" s="173" t="s">
        <v>832</v>
      </c>
      <c r="B226" s="24"/>
      <c r="C226" s="2"/>
      <c r="D226" s="2"/>
      <c r="E226" s="3"/>
      <c r="F226" s="14"/>
      <c r="G226" s="85"/>
      <c r="H226" s="85"/>
      <c r="I226" s="95"/>
      <c r="J226" s="5"/>
    </row>
    <row r="227" spans="1:10" s="1" customFormat="1" ht="15.75">
      <c r="A227" s="173" t="s">
        <v>833</v>
      </c>
      <c r="B227" s="24"/>
      <c r="C227" s="2"/>
      <c r="D227" s="2"/>
      <c r="E227" s="3"/>
      <c r="F227" s="14"/>
      <c r="G227" s="85"/>
      <c r="H227" s="85"/>
      <c r="I227" s="95"/>
      <c r="J227" s="5"/>
    </row>
    <row r="228" spans="1:10" s="1" customFormat="1" ht="15.75">
      <c r="A228" s="172" t="s">
        <v>834</v>
      </c>
      <c r="B228" s="24"/>
      <c r="C228" s="2" t="s">
        <v>287</v>
      </c>
      <c r="D228" s="2" t="s">
        <v>664</v>
      </c>
      <c r="E228" s="3">
        <v>5.7</v>
      </c>
      <c r="F228" s="14">
        <f>IF(D228="ag-03",0.1,IF(D228="ar-08",16,IF(D228="ar-03",12.03,IF(D228="ld-02",0.18,IF(D228="op-02",4.31,IF(D228="op-01",6.89,IF(D228="ag-02",0.09,IF(D228="ld-18",0.7))))))))</f>
        <v>0.1</v>
      </c>
      <c r="G228" s="25">
        <f>E228*F228</f>
        <v>0.5700000000000001</v>
      </c>
      <c r="I228" s="95">
        <f>SUM(G228:G230,H231:H232)</f>
        <v>22.73447</v>
      </c>
      <c r="J228" s="5"/>
    </row>
    <row r="229" spans="1:10" s="1" customFormat="1" ht="15.75">
      <c r="A229" s="174" t="s">
        <v>559</v>
      </c>
      <c r="B229" s="24"/>
      <c r="C229" s="2" t="s">
        <v>357</v>
      </c>
      <c r="D229" s="2" t="s">
        <v>560</v>
      </c>
      <c r="E229" s="3">
        <v>0.019</v>
      </c>
      <c r="F229" s="14">
        <f>IF(D229="ag-03",0.1,IF(D229="ar-08",16,IF(D229="ar-03",12.03,IF(D229="ld-02",0.18,IF(D229="op-02",4.31,IF(D229="op-01",6.89,IF(D229="ag-02",0.09,IF(D229="ld-18",0.7))))))))</f>
        <v>12.03</v>
      </c>
      <c r="G229" s="25">
        <f>E229*F229</f>
        <v>0.22857</v>
      </c>
      <c r="I229" s="95"/>
      <c r="J229" s="5"/>
    </row>
    <row r="230" spans="1:10" s="1" customFormat="1" ht="15.75">
      <c r="A230" s="174" t="s">
        <v>835</v>
      </c>
      <c r="B230" s="24"/>
      <c r="C230" s="2" t="s">
        <v>574</v>
      </c>
      <c r="D230" s="2" t="s">
        <v>836</v>
      </c>
      <c r="E230" s="3">
        <v>12.5</v>
      </c>
      <c r="F230" s="14">
        <f>IF(D230="ag-03",0.1,IF(D230="ar-08",16,IF(D230="ar-03",12.03,IF(D230="ld-02",0.18,IF(D230="op-02",4.31,IF(D230="op-01",6.89,IF(D230="ag-02",0.09,IF(D230="ld-18",0.7))))))))</f>
        <v>0.7</v>
      </c>
      <c r="G230" s="25">
        <f>E230*F230</f>
        <v>8.75</v>
      </c>
      <c r="I230" s="95"/>
      <c r="J230" s="5"/>
    </row>
    <row r="231" spans="1:10" s="1" customFormat="1" ht="15.75">
      <c r="A231" s="174" t="s">
        <v>289</v>
      </c>
      <c r="B231" s="24"/>
      <c r="C231" s="2" t="s">
        <v>228</v>
      </c>
      <c r="D231" s="2" t="s">
        <v>290</v>
      </c>
      <c r="E231" s="3">
        <v>1.17</v>
      </c>
      <c r="F231" s="14">
        <f>+C282</f>
        <v>6.89</v>
      </c>
      <c r="H231" s="25">
        <f>E231*F231</f>
        <v>8.0613</v>
      </c>
      <c r="I231" s="95"/>
      <c r="J231" s="5"/>
    </row>
    <row r="232" spans="1:10" s="1" customFormat="1" ht="15.75">
      <c r="A232" s="174" t="s">
        <v>227</v>
      </c>
      <c r="B232" s="24"/>
      <c r="C232" s="2" t="s">
        <v>228</v>
      </c>
      <c r="D232" s="2" t="s">
        <v>229</v>
      </c>
      <c r="E232" s="3">
        <v>1.17</v>
      </c>
      <c r="F232" s="14">
        <f>+C283</f>
        <v>4.38</v>
      </c>
      <c r="H232" s="25">
        <f>E232*F232</f>
        <v>5.124599999999999</v>
      </c>
      <c r="I232" s="95"/>
      <c r="J232" s="5"/>
    </row>
    <row r="233" spans="1:10" ht="16.5" thickBot="1">
      <c r="A233" s="90"/>
      <c r="B233" s="72"/>
      <c r="C233" s="7"/>
      <c r="D233" s="7"/>
      <c r="E233" s="8"/>
      <c r="F233" s="73"/>
      <c r="G233" s="252">
        <f>SUM(G228:G230)</f>
        <v>9.54857</v>
      </c>
      <c r="H233" s="67">
        <f>SUM(H231:H232)</f>
        <v>13.185899999999998</v>
      </c>
      <c r="I233" s="88"/>
      <c r="J233" s="11"/>
    </row>
    <row r="234" spans="1:10" ht="16.5" thickTop="1">
      <c r="A234" s="168">
        <v>9.23</v>
      </c>
      <c r="B234" s="113"/>
      <c r="C234" s="56"/>
      <c r="D234" s="56"/>
      <c r="E234" s="70"/>
      <c r="F234" s="139"/>
      <c r="G234" s="115"/>
      <c r="H234" s="115"/>
      <c r="I234" s="89"/>
      <c r="J234" s="71"/>
    </row>
    <row r="235" spans="1:10" s="1" customFormat="1" ht="15.75">
      <c r="A235" s="173" t="s">
        <v>837</v>
      </c>
      <c r="B235" s="24"/>
      <c r="C235" s="2"/>
      <c r="D235" s="2"/>
      <c r="E235" s="3"/>
      <c r="F235" s="14"/>
      <c r="G235" s="85"/>
      <c r="H235" s="85"/>
      <c r="I235" s="95"/>
      <c r="J235" s="5"/>
    </row>
    <row r="236" spans="1:10" s="1" customFormat="1" ht="15.75">
      <c r="A236" s="173" t="s">
        <v>838</v>
      </c>
      <c r="B236" s="24"/>
      <c r="C236" s="2"/>
      <c r="D236" s="2"/>
      <c r="E236" s="3"/>
      <c r="F236" s="14"/>
      <c r="G236" s="85"/>
      <c r="H236" s="85"/>
      <c r="I236" s="95"/>
      <c r="J236" s="5"/>
    </row>
    <row r="237" spans="1:10" s="1" customFormat="1" ht="15.75">
      <c r="A237" s="172" t="s">
        <v>834</v>
      </c>
      <c r="B237" s="24"/>
      <c r="C237" s="2" t="s">
        <v>287</v>
      </c>
      <c r="D237" s="2" t="s">
        <v>664</v>
      </c>
      <c r="E237" s="3">
        <v>5.7</v>
      </c>
      <c r="F237" s="14">
        <f>IF(D237="ag-03",0.1,IF(D237="ar-08",16,IF(D237="ar-03",12.03,IF(D237="ld-02",0.18,IF(D237="op-02",4.31,IF(D237="op-01",6.89,IF(D237="ag-02",0.09,IF(D237="ld-19",0.98))))))))</f>
        <v>0.1</v>
      </c>
      <c r="G237" s="25">
        <f>E237*F237</f>
        <v>0.5700000000000001</v>
      </c>
      <c r="I237" s="95">
        <f>SUM(G237:G239,H240:H241)</f>
        <v>27.136069999999997</v>
      </c>
      <c r="J237" s="5"/>
    </row>
    <row r="238" spans="1:10" s="1" customFormat="1" ht="15.75">
      <c r="A238" s="174" t="s">
        <v>559</v>
      </c>
      <c r="B238" s="24"/>
      <c r="C238" s="2" t="s">
        <v>357</v>
      </c>
      <c r="D238" s="2" t="s">
        <v>560</v>
      </c>
      <c r="E238" s="3">
        <v>0.019</v>
      </c>
      <c r="F238" s="14">
        <f>IF(D238="ag-03",0.1,IF(D238="ar-08",16,IF(D238="ar-03",12.03,IF(D238="ld-02",0.18,IF(D238="op-02",4.31,IF(D238="op-01",6.89,IF(D238="ag-02",0.09,IF(D238="ld-19",0.98))))))))</f>
        <v>12.03</v>
      </c>
      <c r="G238" s="25">
        <f>E238*F238</f>
        <v>0.22857</v>
      </c>
      <c r="I238" s="95"/>
      <c r="J238" s="5"/>
    </row>
    <row r="239" spans="1:10" s="1" customFormat="1" ht="15.75">
      <c r="A239" s="174" t="s">
        <v>839</v>
      </c>
      <c r="B239" s="24"/>
      <c r="C239" s="2" t="s">
        <v>574</v>
      </c>
      <c r="D239" s="2" t="s">
        <v>840</v>
      </c>
      <c r="E239" s="3">
        <v>12.5</v>
      </c>
      <c r="F239" s="14">
        <f>IF(D239="ag-03",0.1,IF(D239="ar-08",16,IF(D239="ar-03",12.03,IF(D239="ld-02",0.18,IF(D239="op-02",4.31,IF(D239="op-01",6.89,IF(D239="ag-02",0.09,IF(D239="ld-19",0.98))))))))</f>
        <v>0.98</v>
      </c>
      <c r="G239" s="25">
        <f>E239*F239</f>
        <v>12.25</v>
      </c>
      <c r="I239" s="95"/>
      <c r="J239" s="5"/>
    </row>
    <row r="240" spans="1:10" s="1" customFormat="1" ht="15.75">
      <c r="A240" s="174" t="s">
        <v>289</v>
      </c>
      <c r="B240" s="24"/>
      <c r="C240" s="2" t="s">
        <v>228</v>
      </c>
      <c r="D240" s="2" t="s">
        <v>290</v>
      </c>
      <c r="E240" s="3">
        <v>1.25</v>
      </c>
      <c r="F240" s="14">
        <f>+C282</f>
        <v>6.89</v>
      </c>
      <c r="H240" s="25">
        <f>E240*F240</f>
        <v>8.612499999999999</v>
      </c>
      <c r="I240" s="95"/>
      <c r="J240" s="5"/>
    </row>
    <row r="241" spans="1:10" s="1" customFormat="1" ht="15.75">
      <c r="A241" s="174" t="s">
        <v>227</v>
      </c>
      <c r="B241" s="24"/>
      <c r="C241" s="2" t="s">
        <v>228</v>
      </c>
      <c r="D241" s="2" t="s">
        <v>229</v>
      </c>
      <c r="E241" s="3">
        <v>1.25</v>
      </c>
      <c r="F241" s="14">
        <f>+C283</f>
        <v>4.38</v>
      </c>
      <c r="H241" s="25">
        <f>E241*F241</f>
        <v>5.475</v>
      </c>
      <c r="I241" s="95"/>
      <c r="J241" s="5"/>
    </row>
    <row r="242" spans="1:10" ht="16.5" thickBot="1">
      <c r="A242" s="90"/>
      <c r="B242" s="72"/>
      <c r="C242" s="7"/>
      <c r="D242" s="7"/>
      <c r="E242" s="8"/>
      <c r="F242" s="73"/>
      <c r="G242" s="252">
        <f>SUM(G237:G239)</f>
        <v>13.04857</v>
      </c>
      <c r="H242" s="257">
        <f>SUM(H240:H241)</f>
        <v>14.087499999999999</v>
      </c>
      <c r="I242" s="88"/>
      <c r="J242" s="11"/>
    </row>
    <row r="243" spans="1:10" ht="16.5" thickTop="1">
      <c r="A243" s="168">
        <v>9.24</v>
      </c>
      <c r="B243" s="113"/>
      <c r="C243" s="56"/>
      <c r="D243" s="56"/>
      <c r="E243" s="70"/>
      <c r="F243" s="139"/>
      <c r="G243" s="115"/>
      <c r="H243" s="115"/>
      <c r="I243" s="89"/>
      <c r="J243" s="71"/>
    </row>
    <row r="244" spans="1:10" s="1" customFormat="1" ht="15.75">
      <c r="A244" s="177" t="s">
        <v>841</v>
      </c>
      <c r="B244" s="24"/>
      <c r="C244" s="2"/>
      <c r="D244" s="2"/>
      <c r="E244" s="3"/>
      <c r="F244" s="14"/>
      <c r="G244" s="85"/>
      <c r="H244" s="85"/>
      <c r="I244" s="95"/>
      <c r="J244" s="5"/>
    </row>
    <row r="245" spans="1:10" s="1" customFormat="1" ht="15.75">
      <c r="A245" s="177" t="s">
        <v>842</v>
      </c>
      <c r="B245" s="24"/>
      <c r="C245" s="2" t="s">
        <v>287</v>
      </c>
      <c r="D245" s="2" t="s">
        <v>355</v>
      </c>
      <c r="E245" s="3">
        <v>4.98</v>
      </c>
      <c r="F245" s="14">
        <f>IF(D245="ag-01",0.12,IF(D245="ar-03",12.03,IF(D245="ag-04",0.13,IF(D245="ag-06","",IF(D245="op-02",4.31,IF(D245="op-01",6.89,IF(D245="vi-01",3.65,IF(D245="ld-19",0.98))))))))</f>
        <v>0.12</v>
      </c>
      <c r="G245" s="25">
        <f>E245*F245</f>
        <v>0.5976</v>
      </c>
      <c r="I245" s="95">
        <f>SUM(G245:G249,H250:H251)</f>
        <v>118.46294999999999</v>
      </c>
      <c r="J245" s="5"/>
    </row>
    <row r="246" spans="1:10" s="1" customFormat="1" ht="15.75">
      <c r="A246" s="174" t="s">
        <v>843</v>
      </c>
      <c r="B246" s="24"/>
      <c r="C246" s="2" t="s">
        <v>287</v>
      </c>
      <c r="D246" s="2" t="s">
        <v>844</v>
      </c>
      <c r="E246" s="3">
        <v>5.07</v>
      </c>
      <c r="F246" s="14">
        <f>IF(D246="ag-01",0.12,IF(D246="ar-03",12.03,IF(D246="ag-04",0.13,IF(D246="ag-06","",IF(D246="op-02",4.31,IF(D246="op-01",6.89,IF(D246="vi-01",3.65,IF(D246="ld-19",0.98))))))))</f>
        <v>0.13</v>
      </c>
      <c r="G246" s="25">
        <f>E246*F246</f>
        <v>0.6591</v>
      </c>
      <c r="I246" s="95"/>
      <c r="J246" s="5"/>
    </row>
    <row r="247" spans="1:10" s="1" customFormat="1" ht="15.75">
      <c r="A247" s="174" t="s">
        <v>559</v>
      </c>
      <c r="B247" s="24"/>
      <c r="C247" s="2" t="s">
        <v>357</v>
      </c>
      <c r="D247" s="2" t="s">
        <v>560</v>
      </c>
      <c r="E247" s="3">
        <v>0.025</v>
      </c>
      <c r="F247" s="14">
        <f>IF(D247="ag-01",0.12,IF(D247="ar-03",12.03,IF(D247="ag-04",0.13,IF(D247="ag-06","",IF(D247="op-02",4.31,IF(D247="op-01",6.89,IF(D247="vi-01",3.65,IF(D247="ld-19",0.98))))))))</f>
        <v>12.03</v>
      </c>
      <c r="G247" s="25">
        <f>E247*F247</f>
        <v>0.30075</v>
      </c>
      <c r="I247" s="95"/>
      <c r="J247" s="5"/>
    </row>
    <row r="248" spans="1:10" s="1" customFormat="1" ht="15.75">
      <c r="A248" s="174" t="s">
        <v>845</v>
      </c>
      <c r="B248" s="24"/>
      <c r="C248" s="2" t="s">
        <v>287</v>
      </c>
      <c r="D248" s="2" t="s">
        <v>846</v>
      </c>
      <c r="E248" s="3">
        <v>1.5</v>
      </c>
      <c r="F248" s="14">
        <f>IF(D248="ag-01",0.12,IF(D248="ar-03",12.03,IF(D248="ag-04",0.13,IF(D248="ag-06","",IF(D248="op-02",4.31,IF(D248="op-01",6.89,IF(D248="vi-01",3.65,IF(D248="ac-03",0.53))))))))</f>
        <v>0.53</v>
      </c>
      <c r="G248" s="25">
        <f>E248*F248</f>
        <v>0.795</v>
      </c>
      <c r="I248" s="95"/>
      <c r="J248" s="5"/>
    </row>
    <row r="249" spans="1:10" s="1" customFormat="1" ht="15.75">
      <c r="A249" s="174" t="s">
        <v>847</v>
      </c>
      <c r="B249" s="24"/>
      <c r="C249" s="2" t="s">
        <v>574</v>
      </c>
      <c r="D249" s="2" t="s">
        <v>848</v>
      </c>
      <c r="E249" s="3">
        <v>25</v>
      </c>
      <c r="F249" s="14">
        <f>IF(D249="ag-01",0.12,IF(D249="ar-03",12.03,IF(D249="ag-04",0.13,IF(D249="ag-06","",IF(D249="op-02",4.31,IF(D249="op-01",6.89,IF(D249="vi-01",3.65,IF(D249="ld-19",0.98))))))))</f>
        <v>3.65</v>
      </c>
      <c r="G249" s="25">
        <f>E249*F249</f>
        <v>91.25</v>
      </c>
      <c r="I249" s="95"/>
      <c r="J249" s="5"/>
    </row>
    <row r="250" spans="1:10" s="1" customFormat="1" ht="15.75">
      <c r="A250" s="174" t="s">
        <v>289</v>
      </c>
      <c r="B250" s="24"/>
      <c r="C250" s="2" t="s">
        <v>228</v>
      </c>
      <c r="D250" s="2" t="s">
        <v>290</v>
      </c>
      <c r="E250" s="3">
        <v>2.75</v>
      </c>
      <c r="F250" s="14">
        <f>+C282</f>
        <v>6.89</v>
      </c>
      <c r="H250" s="25">
        <f>E250*F250</f>
        <v>18.947499999999998</v>
      </c>
      <c r="I250" s="95"/>
      <c r="J250" s="5"/>
    </row>
    <row r="251" spans="1:10" s="1" customFormat="1" ht="15.75">
      <c r="A251" s="174" t="s">
        <v>227</v>
      </c>
      <c r="B251" s="24"/>
      <c r="C251" s="2" t="s">
        <v>228</v>
      </c>
      <c r="D251" s="2" t="s">
        <v>229</v>
      </c>
      <c r="E251" s="3">
        <v>1.35</v>
      </c>
      <c r="F251" s="14">
        <f>+C283</f>
        <v>4.38</v>
      </c>
      <c r="H251" s="25">
        <f>E251*F251</f>
        <v>5.913</v>
      </c>
      <c r="I251" s="95"/>
      <c r="J251" s="5"/>
    </row>
    <row r="252" spans="1:10" ht="16.5" thickBot="1">
      <c r="A252" s="90"/>
      <c r="B252" s="72"/>
      <c r="C252" s="7"/>
      <c r="D252" s="7"/>
      <c r="E252" s="8"/>
      <c r="F252" s="73"/>
      <c r="G252" s="252">
        <f>SUM(G245:G249)</f>
        <v>93.60245</v>
      </c>
      <c r="H252" s="67">
        <f>SUM(H250:H251)</f>
        <v>24.8605</v>
      </c>
      <c r="I252" s="88"/>
      <c r="J252" s="11"/>
    </row>
    <row r="253" spans="1:10" ht="16.5" thickTop="1">
      <c r="A253" s="178">
        <v>9.25</v>
      </c>
      <c r="B253" s="113"/>
      <c r="C253" s="56"/>
      <c r="D253" s="56"/>
      <c r="E253" s="70"/>
      <c r="F253" s="139"/>
      <c r="G253" s="115"/>
      <c r="H253" s="115"/>
      <c r="I253" s="89"/>
      <c r="J253" s="71"/>
    </row>
    <row r="254" spans="1:10" s="1" customFormat="1" ht="15.75">
      <c r="A254" s="173" t="s">
        <v>849</v>
      </c>
      <c r="B254" s="24"/>
      <c r="C254" s="2"/>
      <c r="D254" s="2"/>
      <c r="E254" s="3"/>
      <c r="F254" s="14"/>
      <c r="G254" s="85"/>
      <c r="H254" s="85"/>
      <c r="I254" s="95"/>
      <c r="J254" s="5"/>
    </row>
    <row r="255" spans="1:10" s="1" customFormat="1" ht="15.75">
      <c r="A255" s="173" t="s">
        <v>850</v>
      </c>
      <c r="B255" s="24"/>
      <c r="C255" s="2"/>
      <c r="D255" s="2"/>
      <c r="E255" s="3"/>
      <c r="F255" s="14"/>
      <c r="G255" s="85"/>
      <c r="H255" s="85"/>
      <c r="I255" s="95"/>
      <c r="J255" s="5"/>
    </row>
    <row r="256" spans="1:10" s="1" customFormat="1" ht="15.75">
      <c r="A256" s="174" t="s">
        <v>851</v>
      </c>
      <c r="B256" s="24"/>
      <c r="C256" s="2" t="s">
        <v>287</v>
      </c>
      <c r="D256" s="2" t="s">
        <v>852</v>
      </c>
      <c r="E256" s="3">
        <v>60</v>
      </c>
      <c r="F256" s="14">
        <f>IF(D256="ag-07",0.46,IF(D256="ar-03",12.03,IF(D256="ag-04",0.13,IF(D256="ag-06","",IF(D256="op-02",4.31,IF(D256="op-01",6.89,IF(D256="vi-01",3.65,IF(D256="ld-20",1.11))))))))</f>
        <v>0.46</v>
      </c>
      <c r="G256" s="25">
        <f>E256*F256</f>
        <v>27.6</v>
      </c>
      <c r="I256" s="95">
        <f>SUM(G256:G257,H258:H259)</f>
        <v>102.96560000000001</v>
      </c>
      <c r="J256" s="5"/>
    </row>
    <row r="257" spans="1:10" s="1" customFormat="1" ht="15.75">
      <c r="A257" s="174" t="s">
        <v>853</v>
      </c>
      <c r="B257" s="24"/>
      <c r="C257" s="2" t="s">
        <v>574</v>
      </c>
      <c r="D257" s="2" t="s">
        <v>854</v>
      </c>
      <c r="E257" s="3">
        <v>56</v>
      </c>
      <c r="F257" s="14">
        <f>IF(D257="ag-07",0.46,IF(D257="ar-03",12.03,IF(D257="ag-04",0.13,IF(D257="ag-06","",IF(D257="op-02",4.31,IF(D257="op-01",6.89,IF(D257="vi-01",3.65,IF(D257="ld-20",1.11))))))))</f>
        <v>1.11</v>
      </c>
      <c r="G257" s="25">
        <f>E257*F257</f>
        <v>62.160000000000004</v>
      </c>
      <c r="I257" s="95"/>
      <c r="J257" s="5"/>
    </row>
    <row r="258" spans="1:10" s="1" customFormat="1" ht="15.75">
      <c r="A258" s="174" t="s">
        <v>289</v>
      </c>
      <c r="B258" s="24"/>
      <c r="C258" s="2" t="s">
        <v>228</v>
      </c>
      <c r="D258" s="2" t="s">
        <v>290</v>
      </c>
      <c r="E258" s="3">
        <v>1.3</v>
      </c>
      <c r="F258" s="14">
        <f>+C282</f>
        <v>6.89</v>
      </c>
      <c r="H258" s="25">
        <f>E258*F258</f>
        <v>8.957</v>
      </c>
      <c r="I258" s="95"/>
      <c r="J258" s="5"/>
    </row>
    <row r="259" spans="1:10" s="1" customFormat="1" ht="15.75">
      <c r="A259" s="174" t="s">
        <v>227</v>
      </c>
      <c r="B259" s="24"/>
      <c r="C259" s="2" t="s">
        <v>228</v>
      </c>
      <c r="D259" s="2" t="s">
        <v>229</v>
      </c>
      <c r="E259" s="3">
        <v>0.97</v>
      </c>
      <c r="F259" s="14">
        <f>+C283</f>
        <v>4.38</v>
      </c>
      <c r="H259" s="25">
        <f>E259*F259</f>
        <v>4.2486</v>
      </c>
      <c r="I259" s="95"/>
      <c r="J259" s="5"/>
    </row>
    <row r="260" spans="1:10" ht="16.5" thickBot="1">
      <c r="A260" s="90"/>
      <c r="B260" s="72"/>
      <c r="C260" s="7"/>
      <c r="D260" s="7"/>
      <c r="E260" s="8"/>
      <c r="F260" s="73"/>
      <c r="G260" s="67">
        <f>SUM(G256:G257)</f>
        <v>89.76</v>
      </c>
      <c r="H260" s="67">
        <f>SUM(H258:H259)</f>
        <v>13.2056</v>
      </c>
      <c r="I260" s="88"/>
      <c r="J260" s="11"/>
    </row>
    <row r="261" spans="1:10" ht="16.5" thickTop="1">
      <c r="A261" s="168">
        <v>9.26</v>
      </c>
      <c r="B261" s="113"/>
      <c r="C261" s="56"/>
      <c r="D261" s="56"/>
      <c r="E261" s="70"/>
      <c r="F261" s="139"/>
      <c r="G261" s="115"/>
      <c r="H261" s="115"/>
      <c r="I261" s="89"/>
      <c r="J261" s="71"/>
    </row>
    <row r="262" spans="1:10" s="1" customFormat="1" ht="15.75">
      <c r="A262" s="173" t="s">
        <v>855</v>
      </c>
      <c r="B262" s="24"/>
      <c r="C262" s="2"/>
      <c r="D262" s="2"/>
      <c r="E262" s="3"/>
      <c r="F262" s="14"/>
      <c r="G262" s="85"/>
      <c r="H262" s="85"/>
      <c r="I262" s="95"/>
      <c r="J262" s="5"/>
    </row>
    <row r="263" spans="1:10" s="1" customFormat="1" ht="15.75">
      <c r="A263" s="173" t="s">
        <v>856</v>
      </c>
      <c r="B263" s="24"/>
      <c r="C263" s="2"/>
      <c r="D263" s="2"/>
      <c r="E263" s="3"/>
      <c r="F263" s="14"/>
      <c r="G263" s="85"/>
      <c r="H263" s="85"/>
      <c r="I263" s="95"/>
      <c r="J263" s="5"/>
    </row>
    <row r="264" spans="1:10" s="1" customFormat="1" ht="15.75">
      <c r="A264" s="174" t="s">
        <v>851</v>
      </c>
      <c r="B264" s="24"/>
      <c r="C264" s="2" t="s">
        <v>287</v>
      </c>
      <c r="D264" s="2" t="s">
        <v>852</v>
      </c>
      <c r="E264" s="3">
        <v>30</v>
      </c>
      <c r="F264" s="14">
        <f>IF(D264="ag-07",0.46,IF(D264="ar-03",12.03,IF(D264="ag-04",0.13,IF(D264="ag-06","",IF(D264="op-02",4.31,IF(D264="op-01",6.89,IF(D264="vi-01",3.65,IF(D264="ld-20",1.11))))))))</f>
        <v>0.46</v>
      </c>
      <c r="G264" s="25">
        <f>E264*F264</f>
        <v>13.8</v>
      </c>
      <c r="I264" s="95">
        <f>SUM(G264:G265,H266:H267)</f>
        <v>63.54600000000001</v>
      </c>
      <c r="J264" s="5"/>
    </row>
    <row r="265" spans="1:10" s="1" customFormat="1" ht="15.75">
      <c r="A265" s="174" t="s">
        <v>853</v>
      </c>
      <c r="B265" s="24"/>
      <c r="C265" s="2" t="s">
        <v>574</v>
      </c>
      <c r="D265" s="2" t="s">
        <v>854</v>
      </c>
      <c r="E265" s="3">
        <v>35</v>
      </c>
      <c r="F265" s="14">
        <f>IF(D265="ag-07",0.46,IF(D265="ar-03",12.03,IF(D265="ag-04",0.13,IF(D265="ag-06","",IF(D265="op-02",4.31,IF(D265="op-01",6.89,IF(D265="vi-01",3.65,IF(D265="ld-20",1.11))))))))</f>
        <v>1.11</v>
      </c>
      <c r="G265" s="25">
        <f>E265*F265</f>
        <v>38.85</v>
      </c>
      <c r="I265" s="95"/>
      <c r="J265" s="5"/>
    </row>
    <row r="266" spans="1:10" s="1" customFormat="1" ht="15.75">
      <c r="A266" s="174" t="s">
        <v>289</v>
      </c>
      <c r="B266" s="24"/>
      <c r="C266" s="2" t="s">
        <v>228</v>
      </c>
      <c r="D266" s="2" t="s">
        <v>290</v>
      </c>
      <c r="E266" s="3">
        <v>1.2</v>
      </c>
      <c r="F266" s="14">
        <f>+C282</f>
        <v>6.89</v>
      </c>
      <c r="H266" s="25">
        <f>E266*F266</f>
        <v>8.267999999999999</v>
      </c>
      <c r="I266" s="95"/>
      <c r="J266" s="5"/>
    </row>
    <row r="267" spans="1:10" s="1" customFormat="1" ht="15.75">
      <c r="A267" s="174" t="s">
        <v>227</v>
      </c>
      <c r="B267" s="24"/>
      <c r="C267" s="2" t="s">
        <v>228</v>
      </c>
      <c r="D267" s="2" t="s">
        <v>229</v>
      </c>
      <c r="E267" s="3">
        <v>0.6</v>
      </c>
      <c r="F267" s="14">
        <f>+C283</f>
        <v>4.38</v>
      </c>
      <c r="H267" s="25">
        <f>E267*F267</f>
        <v>2.6279999999999997</v>
      </c>
      <c r="I267" s="95"/>
      <c r="J267" s="5"/>
    </row>
    <row r="268" spans="1:10" ht="16.5" thickBot="1">
      <c r="A268" s="90"/>
      <c r="B268" s="72"/>
      <c r="C268" s="7"/>
      <c r="D268" s="7"/>
      <c r="E268" s="8"/>
      <c r="F268" s="73"/>
      <c r="G268" s="67">
        <f>SUM(G264:G265)</f>
        <v>52.650000000000006</v>
      </c>
      <c r="H268" s="67">
        <f>SUM(H266:H267)</f>
        <v>10.895999999999999</v>
      </c>
      <c r="I268" s="88"/>
      <c r="J268" s="11"/>
    </row>
    <row r="269" spans="1:10" ht="16.5" thickTop="1">
      <c r="A269" s="168">
        <v>9.27</v>
      </c>
      <c r="B269" s="113"/>
      <c r="C269" s="56"/>
      <c r="D269" s="56"/>
      <c r="E269" s="70"/>
      <c r="F269" s="139"/>
      <c r="G269" s="115"/>
      <c r="H269" s="115"/>
      <c r="I269" s="89"/>
      <c r="J269" s="71"/>
    </row>
    <row r="270" spans="1:10" s="1" customFormat="1" ht="15.75">
      <c r="A270" s="173" t="s">
        <v>857</v>
      </c>
      <c r="B270" s="24"/>
      <c r="C270" s="2"/>
      <c r="D270" s="2"/>
      <c r="E270" s="3"/>
      <c r="F270" s="14"/>
      <c r="G270" s="85"/>
      <c r="H270" s="85"/>
      <c r="I270" s="95"/>
      <c r="J270" s="5"/>
    </row>
    <row r="271" spans="1:10" s="1" customFormat="1" ht="15.75">
      <c r="A271" s="173" t="s">
        <v>858</v>
      </c>
      <c r="B271" s="24"/>
      <c r="C271" s="2"/>
      <c r="D271" s="2"/>
      <c r="E271" s="3"/>
      <c r="F271" s="14"/>
      <c r="G271" s="85"/>
      <c r="H271" s="85"/>
      <c r="I271" s="95"/>
      <c r="J271" s="5"/>
    </row>
    <row r="272" spans="1:10" s="1" customFormat="1" ht="15.75">
      <c r="A272" s="172" t="s">
        <v>859</v>
      </c>
      <c r="B272" s="24"/>
      <c r="C272" s="2" t="s">
        <v>287</v>
      </c>
      <c r="D272" s="2" t="s">
        <v>355</v>
      </c>
      <c r="E272" s="3">
        <v>3.46</v>
      </c>
      <c r="F272" s="14">
        <f>IF(D272="ag-01",0.12,IF(D272="ar-03",12.03,IF(D272="ag-02",0.09,IF(D272="ag-06","",IF(D272="op-02",4.31,IF(D272="op-01",6.89,IF(D272="vi-01",3.65,IF(D272="ld-21",0.46))))))))</f>
        <v>0.12</v>
      </c>
      <c r="G272" s="25">
        <f>E272*F272</f>
        <v>0.41519999999999996</v>
      </c>
      <c r="I272" s="95">
        <f>SUM(G272:G275,H276:H277)</f>
        <v>39.95622</v>
      </c>
      <c r="J272" s="5"/>
    </row>
    <row r="273" spans="1:10" s="1" customFormat="1" ht="15.75">
      <c r="A273" s="174" t="s">
        <v>557</v>
      </c>
      <c r="B273" s="24"/>
      <c r="C273" s="2" t="s">
        <v>574</v>
      </c>
      <c r="D273" s="2" t="s">
        <v>377</v>
      </c>
      <c r="E273" s="3">
        <v>7.8</v>
      </c>
      <c r="F273" s="14">
        <f>IF(D273="ag-01",0.12,IF(D273="ar-03",12.03,IF(D273="ag-02",0.09,IF(D273="ag-06","",IF(D273="op-02",4.31,IF(D273="op-01",6.89,IF(D273="vi-01",3.65,IF(D273="ld-21",0.46))))))))</f>
        <v>0.09</v>
      </c>
      <c r="G273" s="25">
        <f>E273*F273</f>
        <v>0.702</v>
      </c>
      <c r="I273" s="95"/>
      <c r="J273" s="5"/>
    </row>
    <row r="274" spans="1:10" s="1" customFormat="1" ht="15.75">
      <c r="A274" s="174" t="s">
        <v>559</v>
      </c>
      <c r="B274" s="24"/>
      <c r="C274" s="2" t="s">
        <v>357</v>
      </c>
      <c r="D274" s="2" t="s">
        <v>560</v>
      </c>
      <c r="E274" s="3">
        <v>0.034</v>
      </c>
      <c r="F274" s="14">
        <f>IF(D274="ag-01",0.12,IF(D274="ar-03",12.03,IF(D274="ag-02",0.09,IF(D274="ag-06","",IF(D274="op-02",4.31,IF(D274="op-01",6.89,IF(D274="vi-01",3.65,IF(D274="ld-21",0.46))))))))</f>
        <v>12.03</v>
      </c>
      <c r="G274" s="25">
        <f>E274*F274</f>
        <v>0.40902</v>
      </c>
      <c r="I274" s="95"/>
      <c r="J274" s="5"/>
    </row>
    <row r="275" spans="1:10" s="1" customFormat="1" ht="15.75">
      <c r="A275" s="174" t="s">
        <v>860</v>
      </c>
      <c r="B275" s="24"/>
      <c r="C275" s="2" t="s">
        <v>574</v>
      </c>
      <c r="D275" s="2" t="s">
        <v>861</v>
      </c>
      <c r="E275" s="3">
        <v>57</v>
      </c>
      <c r="F275" s="14">
        <f>IF(D275="ag-01",0.12,IF(D275="ar-03",12.03,IF(D275="ag-02",0.09,IF(D275="ag-06","",IF(D275="op-02",4.31,IF(D275="op-01",6.89,IF(D275="vi-01",3.65,IF(D275="ld-21",0.46))))))))</f>
        <v>0.46</v>
      </c>
      <c r="G275" s="25">
        <f>E275*F275</f>
        <v>26.220000000000002</v>
      </c>
      <c r="I275" s="95"/>
      <c r="J275" s="5"/>
    </row>
    <row r="276" spans="1:10" s="1" customFormat="1" ht="15.75">
      <c r="A276" s="174" t="s">
        <v>289</v>
      </c>
      <c r="B276" s="24"/>
      <c r="C276" s="2" t="s">
        <v>228</v>
      </c>
      <c r="D276" s="2" t="s">
        <v>290</v>
      </c>
      <c r="E276" s="3">
        <v>1.2</v>
      </c>
      <c r="F276" s="14">
        <f>+C282</f>
        <v>6.89</v>
      </c>
      <c r="H276" s="25">
        <f>E276*F276</f>
        <v>8.267999999999999</v>
      </c>
      <c r="I276" s="95"/>
      <c r="J276" s="5"/>
    </row>
    <row r="277" spans="1:10" s="1" customFormat="1" ht="15.75">
      <c r="A277" s="174" t="s">
        <v>227</v>
      </c>
      <c r="B277" s="24"/>
      <c r="C277" s="2" t="s">
        <v>228</v>
      </c>
      <c r="D277" s="2" t="s">
        <v>229</v>
      </c>
      <c r="E277" s="3">
        <v>0.9</v>
      </c>
      <c r="F277" s="14">
        <f>+C283</f>
        <v>4.38</v>
      </c>
      <c r="H277" s="25">
        <f>E277*F277</f>
        <v>3.942</v>
      </c>
      <c r="I277" s="95"/>
      <c r="J277" s="5"/>
    </row>
    <row r="278" spans="1:10" ht="16.5" thickBot="1">
      <c r="A278" s="93"/>
      <c r="B278" s="78"/>
      <c r="C278" s="17"/>
      <c r="D278" s="17"/>
      <c r="E278" s="18"/>
      <c r="F278" s="79"/>
      <c r="G278" s="253">
        <f>SUM(G272:G275)</f>
        <v>27.74622</v>
      </c>
      <c r="H278" s="66">
        <f>SUM(H276:H277)</f>
        <v>12.209999999999999</v>
      </c>
      <c r="I278" s="92"/>
      <c r="J278" s="20"/>
    </row>
    <row r="279" spans="1:10" ht="16.5" thickTop="1">
      <c r="A279" s="175"/>
      <c r="B279" s="40"/>
      <c r="C279" s="22"/>
      <c r="D279" s="22"/>
      <c r="E279" s="23"/>
      <c r="F279" s="21"/>
      <c r="G279" s="21"/>
      <c r="H279" s="21"/>
      <c r="I279" s="21"/>
      <c r="J279" s="21"/>
    </row>
    <row r="280" spans="1:10" ht="15.75">
      <c r="A280" s="175"/>
      <c r="B280" s="40"/>
      <c r="C280" s="22"/>
      <c r="D280" s="22"/>
      <c r="E280" s="23"/>
      <c r="F280" s="21"/>
      <c r="G280" s="21"/>
      <c r="H280" s="21"/>
      <c r="I280" s="21"/>
      <c r="J280" s="21"/>
    </row>
    <row r="281" spans="1:10" ht="15.75">
      <c r="A281" s="175"/>
      <c r="B281" s="40"/>
      <c r="C281" s="22"/>
      <c r="D281" s="22"/>
      <c r="E281" s="23"/>
      <c r="F281" s="21"/>
      <c r="G281" s="21"/>
      <c r="H281" s="21"/>
      <c r="I281" s="21"/>
      <c r="J281" s="21"/>
    </row>
    <row r="282" spans="1:10" ht="15.75">
      <c r="A282" s="175"/>
      <c r="B282" s="301" t="s">
        <v>290</v>
      </c>
      <c r="C282" s="40">
        <v>6.89</v>
      </c>
      <c r="D282" s="22"/>
      <c r="E282" s="23"/>
      <c r="F282" s="21"/>
      <c r="G282" s="21"/>
      <c r="H282" s="21"/>
      <c r="I282" s="21"/>
      <c r="J282" s="21"/>
    </row>
    <row r="283" spans="1:10" ht="15.75">
      <c r="A283" s="175"/>
      <c r="B283" s="301" t="s">
        <v>229</v>
      </c>
      <c r="C283" s="40">
        <v>4.38</v>
      </c>
      <c r="D283" s="22"/>
      <c r="E283" s="23"/>
      <c r="F283" s="21"/>
      <c r="G283" s="21"/>
      <c r="H283" s="21"/>
      <c r="I283" s="21"/>
      <c r="J283" s="21"/>
    </row>
    <row r="284" spans="1:10" ht="15.75">
      <c r="A284" s="175"/>
      <c r="B284" s="40"/>
      <c r="C284" s="22"/>
      <c r="D284" s="22"/>
      <c r="E284" s="23"/>
      <c r="F284" s="21"/>
      <c r="G284" s="21"/>
      <c r="H284" s="21"/>
      <c r="I284" s="21"/>
      <c r="J284" s="21"/>
    </row>
    <row r="285" spans="1:10" ht="15.75">
      <c r="A285" s="175"/>
      <c r="B285" s="40"/>
      <c r="C285" s="22"/>
      <c r="D285" s="22"/>
      <c r="E285" s="23"/>
      <c r="F285" s="21"/>
      <c r="G285" s="21"/>
      <c r="H285" s="21"/>
      <c r="I285" s="21"/>
      <c r="J285" s="21"/>
    </row>
    <row r="286" spans="1:10" ht="15.75">
      <c r="A286" s="175"/>
      <c r="B286" s="40"/>
      <c r="C286" s="22"/>
      <c r="D286" s="22"/>
      <c r="E286" s="23"/>
      <c r="F286" s="21"/>
      <c r="G286" s="21"/>
      <c r="H286" s="21"/>
      <c r="I286" s="21"/>
      <c r="J286" s="21"/>
    </row>
    <row r="287" spans="1:10" ht="15.75">
      <c r="A287" s="175"/>
      <c r="B287" s="40"/>
      <c r="C287" s="22"/>
      <c r="D287" s="22"/>
      <c r="E287" s="23"/>
      <c r="F287" s="21"/>
      <c r="G287" s="21"/>
      <c r="H287" s="21"/>
      <c r="I287" s="21"/>
      <c r="J287" s="21"/>
    </row>
    <row r="288" spans="1:10" ht="15.75">
      <c r="A288" s="175"/>
      <c r="B288" s="40"/>
      <c r="C288" s="22"/>
      <c r="D288" s="22"/>
      <c r="E288" s="23"/>
      <c r="F288" s="21"/>
      <c r="G288" s="21"/>
      <c r="H288" s="21"/>
      <c r="I288" s="21"/>
      <c r="J288" s="21"/>
    </row>
    <row r="289" spans="1:10" ht="15.75">
      <c r="A289" s="175"/>
      <c r="B289" s="40"/>
      <c r="C289" s="22"/>
      <c r="D289" s="22"/>
      <c r="E289" s="23"/>
      <c r="F289" s="21"/>
      <c r="G289" s="21"/>
      <c r="H289" s="21"/>
      <c r="I289" s="21"/>
      <c r="J289" s="21"/>
    </row>
    <row r="290" spans="1:10" ht="15.75">
      <c r="A290" s="175"/>
      <c r="B290" s="40"/>
      <c r="C290" s="22"/>
      <c r="D290" s="22"/>
      <c r="E290" s="23"/>
      <c r="F290" s="21"/>
      <c r="G290" s="21"/>
      <c r="H290" s="21"/>
      <c r="I290" s="21"/>
      <c r="J290" s="21"/>
    </row>
    <row r="291" spans="1:10" ht="15.75">
      <c r="A291" s="175"/>
      <c r="B291" s="40"/>
      <c r="C291" s="22"/>
      <c r="D291" s="22"/>
      <c r="E291" s="23"/>
      <c r="F291" s="21"/>
      <c r="G291" s="21"/>
      <c r="H291" s="21"/>
      <c r="I291" s="21"/>
      <c r="J291" s="21"/>
    </row>
    <row r="292" spans="1:10" ht="15.75">
      <c r="A292" s="175"/>
      <c r="B292" s="40"/>
      <c r="C292" s="22"/>
      <c r="D292" s="22"/>
      <c r="E292" s="23"/>
      <c r="F292" s="21"/>
      <c r="G292" s="21"/>
      <c r="H292" s="21"/>
      <c r="I292" s="21"/>
      <c r="J292" s="21"/>
    </row>
    <row r="293" spans="1:10" ht="15.75">
      <c r="A293" s="175"/>
      <c r="B293" s="40"/>
      <c r="C293" s="22"/>
      <c r="D293" s="22"/>
      <c r="E293" s="23"/>
      <c r="F293" s="21"/>
      <c r="G293" s="21"/>
      <c r="H293" s="21"/>
      <c r="I293" s="21"/>
      <c r="J293" s="21"/>
    </row>
    <row r="294" spans="1:10" ht="15.75">
      <c r="A294" s="175"/>
      <c r="B294" s="40"/>
      <c r="C294" s="22"/>
      <c r="D294" s="22"/>
      <c r="E294" s="23"/>
      <c r="F294" s="21"/>
      <c r="G294" s="21"/>
      <c r="H294" s="21"/>
      <c r="I294" s="21"/>
      <c r="J294" s="21"/>
    </row>
    <row r="295" spans="1:10" ht="15.75">
      <c r="A295" s="175"/>
      <c r="B295" s="40"/>
      <c r="C295" s="22"/>
      <c r="D295" s="22"/>
      <c r="E295" s="23"/>
      <c r="F295" s="21"/>
      <c r="G295" s="21"/>
      <c r="H295" s="21"/>
      <c r="I295" s="21"/>
      <c r="J295" s="21"/>
    </row>
    <row r="296" spans="1:10" ht="15.75">
      <c r="A296" s="175"/>
      <c r="B296" s="40"/>
      <c r="C296" s="22"/>
      <c r="D296" s="22"/>
      <c r="E296" s="23"/>
      <c r="F296" s="21"/>
      <c r="G296" s="21"/>
      <c r="H296" s="21"/>
      <c r="I296" s="21"/>
      <c r="J296" s="21"/>
    </row>
    <row r="297" spans="1:10" ht="15.75">
      <c r="A297" s="175"/>
      <c r="B297" s="40"/>
      <c r="C297" s="22"/>
      <c r="D297" s="22"/>
      <c r="E297" s="23"/>
      <c r="F297" s="21"/>
      <c r="G297" s="21"/>
      <c r="H297" s="21"/>
      <c r="I297" s="21"/>
      <c r="J297" s="21"/>
    </row>
    <row r="298" spans="1:10" ht="15.75">
      <c r="A298" s="175"/>
      <c r="B298" s="40"/>
      <c r="C298" s="22"/>
      <c r="D298" s="22"/>
      <c r="E298" s="23"/>
      <c r="F298" s="21"/>
      <c r="G298" s="21"/>
      <c r="H298" s="21"/>
      <c r="I298" s="21"/>
      <c r="J298" s="21"/>
    </row>
    <row r="299" spans="1:10" ht="15.75">
      <c r="A299" s="175"/>
      <c r="B299" s="40"/>
      <c r="C299" s="22"/>
      <c r="D299" s="22"/>
      <c r="E299" s="23"/>
      <c r="F299" s="21"/>
      <c r="G299" s="21"/>
      <c r="H299" s="21"/>
      <c r="I299" s="21"/>
      <c r="J299" s="21"/>
    </row>
    <row r="300" spans="1:10" ht="15.75">
      <c r="A300" s="175"/>
      <c r="B300" s="40"/>
      <c r="C300" s="22"/>
      <c r="D300" s="22"/>
      <c r="E300" s="23"/>
      <c r="F300" s="21"/>
      <c r="G300" s="21"/>
      <c r="H300" s="21"/>
      <c r="I300" s="21"/>
      <c r="J300" s="21"/>
    </row>
    <row r="301" spans="1:10" ht="15.75">
      <c r="A301" s="175"/>
      <c r="B301" s="40"/>
      <c r="C301" s="22"/>
      <c r="D301" s="22"/>
      <c r="E301" s="23"/>
      <c r="F301" s="21"/>
      <c r="G301" s="21"/>
      <c r="H301" s="21"/>
      <c r="I301" s="21"/>
      <c r="J301" s="21"/>
    </row>
    <row r="302" spans="1:10" ht="15.75">
      <c r="A302" s="175"/>
      <c r="B302" s="40"/>
      <c r="C302" s="22"/>
      <c r="D302" s="22"/>
      <c r="E302" s="23"/>
      <c r="F302" s="21"/>
      <c r="G302" s="21"/>
      <c r="H302" s="21"/>
      <c r="I302" s="21"/>
      <c r="J302" s="21"/>
    </row>
    <row r="303" spans="1:10" ht="15.75">
      <c r="A303" s="175"/>
      <c r="B303" s="40"/>
      <c r="C303" s="22"/>
      <c r="D303" s="22"/>
      <c r="E303" s="23"/>
      <c r="F303" s="21"/>
      <c r="G303" s="21"/>
      <c r="H303" s="21"/>
      <c r="I303" s="21"/>
      <c r="J303" s="21"/>
    </row>
    <row r="304" spans="1:10" ht="15.75">
      <c r="A304" s="175"/>
      <c r="B304" s="40"/>
      <c r="C304" s="22"/>
      <c r="D304" s="22"/>
      <c r="E304" s="23"/>
      <c r="F304" s="21"/>
      <c r="G304" s="21"/>
      <c r="H304" s="21"/>
      <c r="I304" s="21"/>
      <c r="J304" s="21"/>
    </row>
    <row r="305" spans="1:10" ht="15.75">
      <c r="A305" s="175"/>
      <c r="B305" s="40"/>
      <c r="C305" s="22"/>
      <c r="D305" s="22"/>
      <c r="E305" s="23"/>
      <c r="F305" s="21"/>
      <c r="G305" s="21"/>
      <c r="H305" s="21"/>
      <c r="I305" s="21"/>
      <c r="J305" s="21"/>
    </row>
    <row r="306" spans="1:10" ht="15.75">
      <c r="A306" s="175"/>
      <c r="B306" s="40"/>
      <c r="C306" s="22"/>
      <c r="D306" s="22"/>
      <c r="E306" s="23"/>
      <c r="F306" s="21"/>
      <c r="G306" s="21"/>
      <c r="H306" s="21"/>
      <c r="I306" s="21"/>
      <c r="J306" s="21"/>
    </row>
    <row r="307" spans="1:10" ht="15.75">
      <c r="A307" s="175"/>
      <c r="B307" s="40"/>
      <c r="C307" s="22"/>
      <c r="D307" s="22"/>
      <c r="E307" s="23"/>
      <c r="F307" s="21"/>
      <c r="G307" s="21"/>
      <c r="H307" s="21"/>
      <c r="I307" s="21"/>
      <c r="J307" s="21"/>
    </row>
    <row r="308" spans="1:10" ht="15.75">
      <c r="A308" s="175"/>
      <c r="B308" s="40"/>
      <c r="C308" s="22"/>
      <c r="D308" s="22"/>
      <c r="E308" s="23"/>
      <c r="F308" s="21"/>
      <c r="G308" s="21"/>
      <c r="H308" s="21"/>
      <c r="I308" s="21"/>
      <c r="J308" s="21"/>
    </row>
    <row r="309" spans="1:10" ht="15.75">
      <c r="A309" s="175"/>
      <c r="B309" s="40"/>
      <c r="C309" s="22"/>
      <c r="D309" s="22"/>
      <c r="E309" s="23"/>
      <c r="F309" s="21"/>
      <c r="G309" s="21"/>
      <c r="H309" s="21"/>
      <c r="I309" s="21"/>
      <c r="J309" s="21"/>
    </row>
    <row r="310" spans="1:10" ht="15.75">
      <c r="A310" s="175"/>
      <c r="B310" s="40"/>
      <c r="C310" s="22"/>
      <c r="D310" s="22"/>
      <c r="E310" s="23"/>
      <c r="F310" s="21"/>
      <c r="G310" s="21"/>
      <c r="H310" s="21"/>
      <c r="I310" s="21"/>
      <c r="J310" s="21"/>
    </row>
    <row r="311" spans="1:10" ht="15.75">
      <c r="A311" s="175"/>
      <c r="B311" s="40"/>
      <c r="C311" s="22"/>
      <c r="D311" s="22"/>
      <c r="E311" s="23"/>
      <c r="F311" s="21"/>
      <c r="G311" s="21"/>
      <c r="H311" s="21"/>
      <c r="I311" s="21"/>
      <c r="J311" s="21"/>
    </row>
    <row r="312" spans="1:10" ht="15.75">
      <c r="A312" s="175"/>
      <c r="B312" s="40"/>
      <c r="C312" s="22"/>
      <c r="D312" s="22"/>
      <c r="E312" s="23"/>
      <c r="F312" s="21"/>
      <c r="G312" s="21"/>
      <c r="H312" s="21"/>
      <c r="I312" s="21"/>
      <c r="J312" s="21"/>
    </row>
    <row r="313" spans="1:10" ht="15.75">
      <c r="A313" s="175"/>
      <c r="B313" s="40"/>
      <c r="C313" s="22"/>
      <c r="D313" s="22"/>
      <c r="E313" s="23"/>
      <c r="F313" s="21"/>
      <c r="G313" s="21"/>
      <c r="H313" s="21"/>
      <c r="I313" s="21"/>
      <c r="J313" s="21"/>
    </row>
    <row r="314" spans="1:10" ht="15.75">
      <c r="A314" s="175"/>
      <c r="B314" s="40"/>
      <c r="C314" s="22"/>
      <c r="D314" s="22"/>
      <c r="E314" s="23"/>
      <c r="F314" s="21"/>
      <c r="G314" s="21"/>
      <c r="H314" s="21"/>
      <c r="I314" s="21"/>
      <c r="J314" s="21"/>
    </row>
    <row r="315" spans="1:10" ht="15.75">
      <c r="A315" s="175"/>
      <c r="B315" s="40"/>
      <c r="C315" s="22"/>
      <c r="D315" s="22"/>
      <c r="E315" s="23"/>
      <c r="F315" s="21"/>
      <c r="G315" s="21"/>
      <c r="H315" s="21"/>
      <c r="I315" s="21"/>
      <c r="J315" s="21"/>
    </row>
    <row r="316" spans="1:10" ht="15.75">
      <c r="A316" s="175"/>
      <c r="B316" s="40"/>
      <c r="C316" s="22"/>
      <c r="D316" s="22"/>
      <c r="E316" s="23"/>
      <c r="F316" s="21"/>
      <c r="G316" s="21"/>
      <c r="H316" s="21"/>
      <c r="I316" s="21"/>
      <c r="J316" s="21"/>
    </row>
    <row r="317" spans="1:10" ht="15.75">
      <c r="A317" s="175"/>
      <c r="B317" s="40"/>
      <c r="C317" s="22"/>
      <c r="D317" s="22"/>
      <c r="E317" s="23"/>
      <c r="F317" s="21"/>
      <c r="G317" s="21"/>
      <c r="H317" s="21"/>
      <c r="I317" s="21"/>
      <c r="J317" s="21"/>
    </row>
    <row r="318" spans="1:10" ht="15.75">
      <c r="A318" s="175"/>
      <c r="B318" s="40"/>
      <c r="C318" s="22"/>
      <c r="D318" s="22"/>
      <c r="E318" s="23"/>
      <c r="F318" s="21"/>
      <c r="G318" s="21"/>
      <c r="H318" s="21"/>
      <c r="I318" s="21"/>
      <c r="J318" s="21"/>
    </row>
    <row r="319" spans="1:10" ht="15.75">
      <c r="A319" s="175"/>
      <c r="B319" s="40"/>
      <c r="C319" s="22"/>
      <c r="D319" s="22"/>
      <c r="E319" s="23"/>
      <c r="F319" s="21"/>
      <c r="G319" s="21"/>
      <c r="H319" s="21"/>
      <c r="I319" s="21"/>
      <c r="J319" s="21"/>
    </row>
    <row r="320" spans="1:10" ht="15.75">
      <c r="A320" s="175"/>
      <c r="B320" s="40"/>
      <c r="C320" s="22"/>
      <c r="D320" s="22"/>
      <c r="E320" s="23"/>
      <c r="F320" s="21"/>
      <c r="G320" s="21"/>
      <c r="H320" s="21"/>
      <c r="I320" s="21"/>
      <c r="J320" s="21"/>
    </row>
    <row r="321" spans="1:10" ht="15.75">
      <c r="A321" s="175"/>
      <c r="B321" s="40"/>
      <c r="C321" s="22"/>
      <c r="D321" s="22"/>
      <c r="E321" s="23"/>
      <c r="F321" s="21"/>
      <c r="G321" s="21"/>
      <c r="H321" s="21"/>
      <c r="I321" s="21"/>
      <c r="J321" s="21"/>
    </row>
    <row r="322" spans="1:10" ht="15.75">
      <c r="A322" s="175"/>
      <c r="B322" s="40"/>
      <c r="C322" s="22"/>
      <c r="D322" s="22"/>
      <c r="E322" s="23"/>
      <c r="F322" s="21"/>
      <c r="G322" s="21"/>
      <c r="H322" s="21"/>
      <c r="I322" s="21"/>
      <c r="J322" s="21"/>
    </row>
    <row r="323" spans="1:10" ht="15.75">
      <c r="A323" s="175"/>
      <c r="B323" s="40"/>
      <c r="C323" s="22"/>
      <c r="D323" s="22"/>
      <c r="E323" s="23"/>
      <c r="F323" s="21"/>
      <c r="G323" s="21"/>
      <c r="H323" s="21"/>
      <c r="I323" s="21"/>
      <c r="J323" s="21"/>
    </row>
    <row r="324" spans="1:10" ht="15.75">
      <c r="A324" s="175"/>
      <c r="B324" s="40"/>
      <c r="C324" s="22"/>
      <c r="D324" s="22"/>
      <c r="E324" s="23"/>
      <c r="F324" s="21"/>
      <c r="G324" s="21"/>
      <c r="H324" s="21"/>
      <c r="I324" s="21"/>
      <c r="J324" s="21"/>
    </row>
    <row r="325" spans="1:10" ht="15.75">
      <c r="A325" s="175"/>
      <c r="B325" s="40"/>
      <c r="C325" s="22"/>
      <c r="D325" s="22"/>
      <c r="E325" s="23"/>
      <c r="F325" s="21"/>
      <c r="G325" s="21"/>
      <c r="H325" s="21"/>
      <c r="I325" s="21"/>
      <c r="J325" s="21"/>
    </row>
    <row r="326" spans="2:10" ht="15.75">
      <c r="B326" s="21"/>
      <c r="C326" s="22"/>
      <c r="D326" s="22"/>
      <c r="E326" s="23"/>
      <c r="F326" s="21"/>
      <c r="G326" s="21"/>
      <c r="H326" s="21"/>
      <c r="I326" s="21"/>
      <c r="J326" s="21"/>
    </row>
    <row r="327" spans="2:10" ht="15.75">
      <c r="B327" s="21"/>
      <c r="C327" s="22"/>
      <c r="D327" s="22"/>
      <c r="E327" s="23"/>
      <c r="F327" s="21"/>
      <c r="G327" s="21"/>
      <c r="H327" s="21"/>
      <c r="I327" s="21"/>
      <c r="J327" s="21"/>
    </row>
    <row r="328" spans="1:10" ht="15.75">
      <c r="A328" s="175"/>
      <c r="B328" s="21"/>
      <c r="C328" s="22"/>
      <c r="D328" s="22"/>
      <c r="E328" s="23"/>
      <c r="F328" s="21"/>
      <c r="G328" s="21"/>
      <c r="H328" s="21"/>
      <c r="I328" s="21"/>
      <c r="J328" s="21"/>
    </row>
    <row r="329" spans="2:10" ht="15.75">
      <c r="B329" s="21"/>
      <c r="C329" s="22"/>
      <c r="D329" s="22"/>
      <c r="E329" s="23"/>
      <c r="F329" s="21"/>
      <c r="G329" s="21"/>
      <c r="H329" s="21"/>
      <c r="I329" s="21"/>
      <c r="J329" s="21"/>
    </row>
    <row r="330" spans="2:10" ht="15.75">
      <c r="B330" s="21"/>
      <c r="C330" s="22"/>
      <c r="D330" s="22"/>
      <c r="E330" s="23"/>
      <c r="F330" s="21"/>
      <c r="G330" s="21"/>
      <c r="H330" s="21"/>
      <c r="I330" s="21"/>
      <c r="J330" s="21"/>
    </row>
    <row r="331" spans="2:10" ht="15.75">
      <c r="B331" s="21"/>
      <c r="C331" s="22"/>
      <c r="D331" s="22"/>
      <c r="E331" s="23"/>
      <c r="F331" s="21"/>
      <c r="G331" s="21"/>
      <c r="H331" s="21"/>
      <c r="I331" s="21"/>
      <c r="J331" s="21"/>
    </row>
    <row r="332" spans="2:10" ht="15.75">
      <c r="B332" s="21"/>
      <c r="C332" s="22"/>
      <c r="D332" s="22"/>
      <c r="E332" s="23"/>
      <c r="F332" s="21"/>
      <c r="G332" s="21"/>
      <c r="H332" s="21"/>
      <c r="I332" s="21"/>
      <c r="J332" s="21"/>
    </row>
    <row r="333" spans="2:10" ht="15.75">
      <c r="B333" s="21"/>
      <c r="C333" s="22"/>
      <c r="D333" s="22"/>
      <c r="E333" s="23"/>
      <c r="F333" s="21"/>
      <c r="G333" s="21"/>
      <c r="H333" s="21"/>
      <c r="I333" s="21"/>
      <c r="J333" s="21"/>
    </row>
    <row r="334" spans="2:10" ht="15.75">
      <c r="B334" s="21"/>
      <c r="C334" s="22"/>
      <c r="D334" s="22"/>
      <c r="E334" s="23"/>
      <c r="F334" s="21"/>
      <c r="G334" s="21"/>
      <c r="H334" s="21"/>
      <c r="I334" s="21"/>
      <c r="J334" s="21"/>
    </row>
    <row r="335" spans="2:10" ht="15.75">
      <c r="B335" s="21"/>
      <c r="C335" s="22"/>
      <c r="D335" s="22"/>
      <c r="E335" s="23"/>
      <c r="F335" s="21"/>
      <c r="G335" s="21"/>
      <c r="H335" s="21"/>
      <c r="I335" s="21"/>
      <c r="J335" s="21"/>
    </row>
    <row r="336" spans="2:10" ht="15.75">
      <c r="B336" s="21"/>
      <c r="C336" s="22"/>
      <c r="D336" s="22"/>
      <c r="E336" s="23"/>
      <c r="F336" s="21"/>
      <c r="G336" s="21"/>
      <c r="H336" s="21"/>
      <c r="I336" s="21"/>
      <c r="J336" s="21"/>
    </row>
    <row r="337" spans="2:10" ht="15.75">
      <c r="B337" s="21"/>
      <c r="C337" s="22"/>
      <c r="D337" s="22"/>
      <c r="E337" s="23"/>
      <c r="F337" s="21"/>
      <c r="G337" s="21"/>
      <c r="H337" s="21"/>
      <c r="I337" s="21"/>
      <c r="J337" s="21"/>
    </row>
    <row r="338" spans="2:10" ht="15.75">
      <c r="B338" s="21"/>
      <c r="C338" s="22"/>
      <c r="D338" s="22"/>
      <c r="E338" s="23"/>
      <c r="F338" s="21"/>
      <c r="G338" s="21"/>
      <c r="H338" s="21"/>
      <c r="I338" s="21"/>
      <c r="J338" s="21"/>
    </row>
    <row r="339" spans="2:10" ht="15.75">
      <c r="B339" s="21"/>
      <c r="C339" s="22"/>
      <c r="D339" s="22"/>
      <c r="E339" s="23"/>
      <c r="F339" s="21"/>
      <c r="G339" s="21"/>
      <c r="H339" s="21"/>
      <c r="I339" s="21"/>
      <c r="J339" s="21"/>
    </row>
    <row r="340" spans="2:10" ht="15.75">
      <c r="B340" s="21"/>
      <c r="C340" s="22"/>
      <c r="D340" s="22"/>
      <c r="E340" s="23"/>
      <c r="F340" s="21"/>
      <c r="G340" s="21"/>
      <c r="H340" s="21"/>
      <c r="I340" s="21"/>
      <c r="J340" s="21"/>
    </row>
    <row r="341" spans="2:10" ht="15.75">
      <c r="B341" s="21"/>
      <c r="C341" s="22"/>
      <c r="D341" s="22"/>
      <c r="E341" s="23"/>
      <c r="F341" s="21"/>
      <c r="G341" s="21"/>
      <c r="H341" s="21"/>
      <c r="I341" s="21"/>
      <c r="J341" s="21"/>
    </row>
    <row r="342" spans="2:10" ht="15.75">
      <c r="B342" s="21"/>
      <c r="C342" s="22"/>
      <c r="D342" s="22"/>
      <c r="E342" s="23"/>
      <c r="F342" s="21"/>
      <c r="G342" s="21"/>
      <c r="H342" s="21"/>
      <c r="I342" s="21"/>
      <c r="J342" s="21"/>
    </row>
    <row r="343" spans="2:10" ht="15.75">
      <c r="B343" s="21"/>
      <c r="C343" s="22"/>
      <c r="D343" s="22"/>
      <c r="E343" s="23"/>
      <c r="F343" s="21"/>
      <c r="G343" s="21"/>
      <c r="H343" s="21"/>
      <c r="I343" s="21"/>
      <c r="J343" s="21"/>
    </row>
    <row r="344" spans="2:10" ht="15.75">
      <c r="B344" s="21"/>
      <c r="C344" s="22"/>
      <c r="D344" s="22"/>
      <c r="E344" s="23"/>
      <c r="F344" s="21"/>
      <c r="G344" s="21"/>
      <c r="H344" s="21"/>
      <c r="I344" s="21"/>
      <c r="J344" s="21"/>
    </row>
    <row r="345" spans="1:10" ht="15.75">
      <c r="A345" s="175"/>
      <c r="B345" s="21"/>
      <c r="C345" s="40"/>
      <c r="D345" s="40"/>
      <c r="E345" s="23"/>
      <c r="F345" s="21"/>
      <c r="G345" s="21"/>
      <c r="H345" s="21"/>
      <c r="I345" s="21"/>
      <c r="J345" s="21"/>
    </row>
    <row r="346" spans="1:10" ht="15.75">
      <c r="A346" s="175"/>
      <c r="B346" s="21"/>
      <c r="C346" s="40"/>
      <c r="D346" s="40"/>
      <c r="E346" s="23"/>
      <c r="F346" s="21"/>
      <c r="G346" s="21"/>
      <c r="H346" s="21"/>
      <c r="I346" s="21"/>
      <c r="J346" s="21"/>
    </row>
    <row r="347" spans="1:10" ht="15.75">
      <c r="A347" s="175"/>
      <c r="B347" s="21"/>
      <c r="C347" s="40"/>
      <c r="D347" s="40"/>
      <c r="E347" s="23"/>
      <c r="F347" s="21"/>
      <c r="G347" s="21"/>
      <c r="H347" s="21"/>
      <c r="I347" s="21"/>
      <c r="J347" s="21"/>
    </row>
    <row r="348" spans="1:10" ht="15.75">
      <c r="A348" s="175"/>
      <c r="B348" s="21"/>
      <c r="C348" s="40"/>
      <c r="D348" s="40"/>
      <c r="E348" s="23"/>
      <c r="F348" s="21"/>
      <c r="G348" s="21"/>
      <c r="H348" s="21"/>
      <c r="I348" s="21"/>
      <c r="J348" s="21"/>
    </row>
    <row r="349" spans="1:10" ht="15.75">
      <c r="A349" s="175"/>
      <c r="B349" s="21"/>
      <c r="C349" s="40"/>
      <c r="D349" s="40"/>
      <c r="E349" s="23"/>
      <c r="F349" s="21"/>
      <c r="G349" s="21"/>
      <c r="H349" s="21"/>
      <c r="I349" s="21"/>
      <c r="J349" s="21"/>
    </row>
    <row r="350" spans="1:10" ht="15.75">
      <c r="A350" s="175"/>
      <c r="B350" s="40"/>
      <c r="C350" s="22"/>
      <c r="D350" s="22"/>
      <c r="E350" s="23"/>
      <c r="F350" s="21"/>
      <c r="G350" s="21"/>
      <c r="H350" s="21"/>
      <c r="I350" s="21"/>
      <c r="J350" s="21"/>
    </row>
    <row r="351" spans="1:10" ht="15.75">
      <c r="A351" s="175"/>
      <c r="B351" s="40"/>
      <c r="C351" s="40"/>
      <c r="D351" s="40"/>
      <c r="E351" s="23"/>
      <c r="F351" s="21"/>
      <c r="G351" s="21"/>
      <c r="H351" s="21"/>
      <c r="I351" s="21"/>
      <c r="J351" s="21"/>
    </row>
    <row r="352" spans="1:10" ht="15.75">
      <c r="A352" s="175"/>
      <c r="B352" s="40"/>
      <c r="C352" s="40"/>
      <c r="D352" s="40"/>
      <c r="E352" s="23"/>
      <c r="F352" s="21"/>
      <c r="G352" s="21"/>
      <c r="H352" s="21"/>
      <c r="I352" s="21"/>
      <c r="J352" s="21"/>
    </row>
    <row r="353" spans="1:10" ht="15.75">
      <c r="A353" s="175"/>
      <c r="B353" s="40"/>
      <c r="C353" s="40"/>
      <c r="D353" s="40"/>
      <c r="E353" s="23"/>
      <c r="F353" s="21"/>
      <c r="G353" s="21"/>
      <c r="H353" s="21"/>
      <c r="I353" s="21"/>
      <c r="J353" s="21"/>
    </row>
    <row r="354" spans="1:10" ht="15.75">
      <c r="A354" s="175"/>
      <c r="B354" s="40"/>
      <c r="C354" s="40"/>
      <c r="D354" s="40"/>
      <c r="E354" s="23"/>
      <c r="F354" s="21"/>
      <c r="G354" s="21"/>
      <c r="H354" s="21"/>
      <c r="I354" s="21"/>
      <c r="J354" s="21"/>
    </row>
    <row r="355" spans="1:10" ht="15.75">
      <c r="A355" s="175"/>
      <c r="B355" s="40"/>
      <c r="C355" s="40"/>
      <c r="D355" s="40"/>
      <c r="E355" s="23"/>
      <c r="F355" s="21"/>
      <c r="G355" s="21"/>
      <c r="H355" s="21"/>
      <c r="I355" s="21"/>
      <c r="J355" s="21"/>
    </row>
    <row r="356" spans="1:10" ht="15.75">
      <c r="A356" s="175"/>
      <c r="B356" s="40"/>
      <c r="C356" s="22"/>
      <c r="D356" s="22"/>
      <c r="E356" s="23"/>
      <c r="F356" s="21"/>
      <c r="G356" s="21"/>
      <c r="H356" s="21"/>
      <c r="I356" s="21"/>
      <c r="J356" s="21"/>
    </row>
    <row r="357" spans="1:10" ht="15.75">
      <c r="A357" s="175"/>
      <c r="B357" s="40"/>
      <c r="C357" s="40"/>
      <c r="D357" s="40"/>
      <c r="E357" s="23"/>
      <c r="F357" s="21"/>
      <c r="G357" s="21"/>
      <c r="H357" s="21"/>
      <c r="I357" s="21"/>
      <c r="J357" s="21"/>
    </row>
    <row r="358" spans="1:10" ht="15.75">
      <c r="A358" s="175"/>
      <c r="B358" s="40"/>
      <c r="C358" s="40"/>
      <c r="D358" s="40"/>
      <c r="E358" s="23"/>
      <c r="F358" s="21"/>
      <c r="G358" s="21"/>
      <c r="H358" s="21"/>
      <c r="I358" s="21"/>
      <c r="J358" s="21"/>
    </row>
    <row r="359" spans="1:10" ht="15.75">
      <c r="A359" s="175"/>
      <c r="B359" s="40"/>
      <c r="C359" s="40"/>
      <c r="D359" s="40"/>
      <c r="E359" s="23"/>
      <c r="F359" s="21"/>
      <c r="G359" s="21"/>
      <c r="H359" s="21"/>
      <c r="I359" s="21"/>
      <c r="J359" s="21"/>
    </row>
    <row r="360" spans="1:10" ht="15.75">
      <c r="A360" s="175"/>
      <c r="B360" s="40"/>
      <c r="C360" s="40"/>
      <c r="D360" s="40"/>
      <c r="E360" s="23"/>
      <c r="F360" s="21"/>
      <c r="G360" s="21"/>
      <c r="H360" s="21"/>
      <c r="I360" s="21"/>
      <c r="J360" s="21"/>
    </row>
    <row r="361" spans="1:10" ht="15.75">
      <c r="A361" s="175"/>
      <c r="B361" s="40"/>
      <c r="C361" s="40"/>
      <c r="D361" s="40"/>
      <c r="E361" s="23"/>
      <c r="F361" s="21"/>
      <c r="G361" s="21"/>
      <c r="H361" s="21"/>
      <c r="I361" s="21"/>
      <c r="J361" s="21"/>
    </row>
    <row r="362" spans="1:10" ht="15.75">
      <c r="A362" s="175"/>
      <c r="B362" s="40"/>
      <c r="C362" s="22"/>
      <c r="D362" s="22"/>
      <c r="E362" s="23"/>
      <c r="F362" s="21"/>
      <c r="G362" s="21"/>
      <c r="H362" s="21"/>
      <c r="I362" s="21"/>
      <c r="J362" s="21"/>
    </row>
    <row r="363" spans="1:10" ht="15.75">
      <c r="A363" s="175"/>
      <c r="B363" s="40"/>
      <c r="C363" s="40"/>
      <c r="D363" s="40"/>
      <c r="E363" s="23"/>
      <c r="F363" s="21"/>
      <c r="G363" s="21"/>
      <c r="H363" s="21"/>
      <c r="I363" s="21"/>
      <c r="J363" s="21"/>
    </row>
    <row r="364" spans="1:10" ht="15.75">
      <c r="A364" s="175"/>
      <c r="B364" s="40"/>
      <c r="C364" s="40"/>
      <c r="D364" s="40"/>
      <c r="E364" s="23"/>
      <c r="F364" s="21"/>
      <c r="G364" s="21"/>
      <c r="H364" s="21"/>
      <c r="I364" s="21"/>
      <c r="J364" s="21"/>
    </row>
    <row r="365" spans="1:10" ht="15.75">
      <c r="A365" s="175"/>
      <c r="B365" s="40"/>
      <c r="C365" s="40"/>
      <c r="D365" s="40"/>
      <c r="E365" s="23"/>
      <c r="F365" s="21"/>
      <c r="G365" s="21"/>
      <c r="H365" s="21"/>
      <c r="I365" s="21"/>
      <c r="J365" s="21"/>
    </row>
    <row r="366" spans="1:10" ht="15.75">
      <c r="A366" s="175"/>
      <c r="B366" s="40"/>
      <c r="C366" s="40"/>
      <c r="D366" s="40"/>
      <c r="E366" s="23"/>
      <c r="F366" s="21"/>
      <c r="G366" s="21"/>
      <c r="H366" s="21"/>
      <c r="I366" s="21"/>
      <c r="J366" s="21"/>
    </row>
    <row r="367" spans="1:10" ht="15.75">
      <c r="A367" s="175"/>
      <c r="B367" s="40"/>
      <c r="C367" s="40"/>
      <c r="D367" s="40"/>
      <c r="E367" s="23"/>
      <c r="F367" s="21"/>
      <c r="G367" s="21"/>
      <c r="H367" s="21"/>
      <c r="I367" s="21"/>
      <c r="J367" s="21"/>
    </row>
    <row r="368" spans="1:10" ht="15.75">
      <c r="A368" s="175"/>
      <c r="B368" s="40"/>
      <c r="C368" s="22"/>
      <c r="D368" s="22"/>
      <c r="E368" s="23"/>
      <c r="F368" s="21"/>
      <c r="G368" s="21"/>
      <c r="H368" s="21"/>
      <c r="I368" s="21"/>
      <c r="J368" s="21"/>
    </row>
    <row r="369" spans="1:10" ht="15.75">
      <c r="A369" s="175"/>
      <c r="B369" s="40"/>
      <c r="C369" s="40"/>
      <c r="D369" s="40"/>
      <c r="E369" s="23"/>
      <c r="F369" s="21"/>
      <c r="G369" s="21"/>
      <c r="H369" s="21"/>
      <c r="I369" s="21"/>
      <c r="J369" s="21"/>
    </row>
    <row r="370" spans="1:10" ht="15.75">
      <c r="A370" s="175"/>
      <c r="B370" s="40"/>
      <c r="C370" s="40"/>
      <c r="D370" s="40"/>
      <c r="E370" s="23"/>
      <c r="F370" s="21"/>
      <c r="G370" s="21"/>
      <c r="H370" s="21"/>
      <c r="I370" s="21"/>
      <c r="J370" s="21"/>
    </row>
    <row r="371" spans="1:10" ht="15.75">
      <c r="A371" s="175"/>
      <c r="B371" s="40"/>
      <c r="C371" s="40"/>
      <c r="D371" s="40"/>
      <c r="E371" s="23"/>
      <c r="F371" s="21"/>
      <c r="G371" s="21"/>
      <c r="H371" s="21"/>
      <c r="I371" s="21"/>
      <c r="J371" s="21"/>
    </row>
    <row r="372" spans="1:10" ht="15.75">
      <c r="A372" s="175"/>
      <c r="B372" s="40"/>
      <c r="C372" s="40"/>
      <c r="D372" s="40"/>
      <c r="E372" s="23"/>
      <c r="F372" s="21"/>
      <c r="G372" s="21"/>
      <c r="H372" s="21"/>
      <c r="I372" s="21"/>
      <c r="J372" s="21"/>
    </row>
    <row r="373" spans="1:10" ht="15.75">
      <c r="A373" s="175"/>
      <c r="B373" s="40"/>
      <c r="C373" s="40"/>
      <c r="D373" s="40"/>
      <c r="E373" s="23"/>
      <c r="F373" s="21"/>
      <c r="G373" s="21"/>
      <c r="H373" s="21"/>
      <c r="I373" s="21"/>
      <c r="J373" s="21"/>
    </row>
    <row r="374" spans="1:10" ht="15.75">
      <c r="A374" s="175"/>
      <c r="B374" s="40"/>
      <c r="C374" s="22"/>
      <c r="D374" s="22"/>
      <c r="E374" s="23"/>
      <c r="F374" s="21"/>
      <c r="G374" s="21"/>
      <c r="H374" s="21"/>
      <c r="I374" s="21"/>
      <c r="J374" s="21"/>
    </row>
    <row r="375" spans="1:10" ht="15.75">
      <c r="A375" s="175"/>
      <c r="B375" s="40"/>
      <c r="C375" s="22"/>
      <c r="D375" s="22"/>
      <c r="E375" s="23"/>
      <c r="F375" s="21"/>
      <c r="G375" s="21"/>
      <c r="H375" s="21"/>
      <c r="I375" s="21"/>
      <c r="J375" s="21"/>
    </row>
    <row r="376" spans="1:10" ht="15.75">
      <c r="A376" s="175"/>
      <c r="B376" s="40"/>
      <c r="C376" s="22"/>
      <c r="D376" s="22"/>
      <c r="E376" s="23"/>
      <c r="F376" s="21"/>
      <c r="G376" s="21"/>
      <c r="H376" s="21"/>
      <c r="I376" s="21"/>
      <c r="J376" s="21"/>
    </row>
    <row r="377" spans="1:10" ht="15.75">
      <c r="A377" s="175"/>
      <c r="B377" s="40"/>
      <c r="C377" s="22"/>
      <c r="D377" s="22"/>
      <c r="E377" s="23"/>
      <c r="F377" s="21"/>
      <c r="G377" s="21"/>
      <c r="H377" s="21"/>
      <c r="I377" s="21"/>
      <c r="J377" s="21"/>
    </row>
    <row r="378" spans="1:10" ht="15.75">
      <c r="A378" s="175"/>
      <c r="B378" s="40"/>
      <c r="C378" s="22"/>
      <c r="D378" s="22"/>
      <c r="E378" s="23"/>
      <c r="F378" s="21"/>
      <c r="G378" s="21"/>
      <c r="H378" s="21"/>
      <c r="I378" s="21"/>
      <c r="J378" s="21"/>
    </row>
    <row r="379" spans="1:10" ht="15.75">
      <c r="A379" s="175"/>
      <c r="B379" s="40"/>
      <c r="C379" s="22"/>
      <c r="D379" s="22"/>
      <c r="E379" s="23"/>
      <c r="F379" s="21"/>
      <c r="G379" s="21"/>
      <c r="H379" s="21"/>
      <c r="I379" s="21"/>
      <c r="J379" s="21"/>
    </row>
    <row r="380" spans="1:10" ht="15.75">
      <c r="A380" s="175"/>
      <c r="B380" s="40"/>
      <c r="C380" s="22"/>
      <c r="D380" s="22"/>
      <c r="E380" s="23"/>
      <c r="F380" s="21"/>
      <c r="G380" s="21"/>
      <c r="H380" s="21"/>
      <c r="I380" s="21"/>
      <c r="J380" s="21"/>
    </row>
    <row r="381" spans="1:10" ht="15.75">
      <c r="A381" s="175"/>
      <c r="B381" s="40"/>
      <c r="C381" s="22"/>
      <c r="D381" s="22"/>
      <c r="E381" s="23"/>
      <c r="F381" s="21"/>
      <c r="G381" s="21"/>
      <c r="H381" s="21"/>
      <c r="I381" s="21"/>
      <c r="J381" s="21"/>
    </row>
    <row r="382" spans="1:10" ht="15.75">
      <c r="A382" s="175"/>
      <c r="B382" s="40"/>
      <c r="C382" s="22"/>
      <c r="D382" s="22"/>
      <c r="E382" s="23"/>
      <c r="F382" s="21"/>
      <c r="G382" s="21"/>
      <c r="H382" s="21"/>
      <c r="I382" s="21"/>
      <c r="J382" s="21"/>
    </row>
    <row r="383" spans="1:10" ht="15.75">
      <c r="A383" s="175"/>
      <c r="B383" s="40"/>
      <c r="C383" s="22"/>
      <c r="D383" s="22"/>
      <c r="E383" s="23"/>
      <c r="F383" s="21"/>
      <c r="G383" s="21"/>
      <c r="H383" s="21"/>
      <c r="I383" s="21"/>
      <c r="J383" s="21"/>
    </row>
    <row r="384" spans="1:10" ht="15.75">
      <c r="A384" s="175"/>
      <c r="B384" s="40"/>
      <c r="C384" s="22"/>
      <c r="D384" s="22"/>
      <c r="E384" s="23"/>
      <c r="F384" s="21"/>
      <c r="G384" s="21"/>
      <c r="H384" s="21"/>
      <c r="I384" s="21"/>
      <c r="J384" s="21"/>
    </row>
    <row r="385" spans="1:10" ht="15.75">
      <c r="A385" s="175"/>
      <c r="B385" s="40"/>
      <c r="C385" s="22"/>
      <c r="D385" s="22"/>
      <c r="E385" s="23"/>
      <c r="F385" s="21"/>
      <c r="G385" s="21"/>
      <c r="H385" s="21"/>
      <c r="I385" s="21"/>
      <c r="J385" s="21"/>
    </row>
    <row r="386" spans="1:10" ht="15.75">
      <c r="A386" s="175"/>
      <c r="B386" s="40"/>
      <c r="C386" s="22"/>
      <c r="D386" s="22"/>
      <c r="E386" s="23"/>
      <c r="F386" s="21"/>
      <c r="G386" s="21"/>
      <c r="H386" s="21"/>
      <c r="I386" s="21"/>
      <c r="J386" s="21"/>
    </row>
    <row r="387" spans="1:10" ht="15.75">
      <c r="A387" s="175"/>
      <c r="B387" s="40"/>
      <c r="C387" s="22"/>
      <c r="D387" s="22"/>
      <c r="E387" s="23"/>
      <c r="F387" s="21"/>
      <c r="G387" s="21"/>
      <c r="H387" s="21"/>
      <c r="I387" s="21"/>
      <c r="J387" s="21"/>
    </row>
    <row r="388" spans="1:10" ht="15.75">
      <c r="A388" s="175"/>
      <c r="B388" s="40"/>
      <c r="C388" s="22"/>
      <c r="D388" s="22"/>
      <c r="E388" s="23"/>
      <c r="F388" s="21"/>
      <c r="G388" s="21"/>
      <c r="H388" s="21"/>
      <c r="I388" s="21"/>
      <c r="J388" s="21"/>
    </row>
    <row r="389" spans="1:10" ht="15.75">
      <c r="A389" s="175"/>
      <c r="B389" s="40"/>
      <c r="C389" s="22"/>
      <c r="D389" s="22"/>
      <c r="E389" s="23"/>
      <c r="F389" s="21"/>
      <c r="G389" s="21"/>
      <c r="H389" s="21"/>
      <c r="I389" s="21"/>
      <c r="J389" s="21"/>
    </row>
    <row r="390" spans="1:10" ht="15.75">
      <c r="A390" s="175"/>
      <c r="B390" s="40"/>
      <c r="C390" s="22"/>
      <c r="D390" s="22"/>
      <c r="E390" s="23"/>
      <c r="F390" s="21"/>
      <c r="G390" s="21"/>
      <c r="H390" s="21"/>
      <c r="I390" s="21"/>
      <c r="J390" s="21"/>
    </row>
    <row r="391" spans="1:10" ht="15.75">
      <c r="A391" s="175"/>
      <c r="B391" s="40"/>
      <c r="C391" s="22"/>
      <c r="D391" s="22"/>
      <c r="E391" s="23"/>
      <c r="F391" s="21"/>
      <c r="G391" s="21"/>
      <c r="H391" s="21"/>
      <c r="I391" s="21"/>
      <c r="J391" s="21"/>
    </row>
    <row r="392" spans="1:10" ht="15.75">
      <c r="A392" s="175"/>
      <c r="B392" s="40"/>
      <c r="C392" s="22"/>
      <c r="D392" s="22"/>
      <c r="E392" s="23"/>
      <c r="F392" s="21"/>
      <c r="G392" s="21"/>
      <c r="H392" s="21"/>
      <c r="I392" s="21"/>
      <c r="J392" s="21"/>
    </row>
    <row r="393" spans="1:10" ht="15.75">
      <c r="A393" s="175"/>
      <c r="B393" s="40"/>
      <c r="C393" s="22"/>
      <c r="D393" s="22"/>
      <c r="E393" s="23"/>
      <c r="F393" s="21"/>
      <c r="G393" s="21"/>
      <c r="H393" s="21"/>
      <c r="I393" s="21"/>
      <c r="J393" s="21"/>
    </row>
    <row r="394" spans="1:10" ht="15.75">
      <c r="A394" s="175"/>
      <c r="B394" s="40"/>
      <c r="C394" s="22"/>
      <c r="D394" s="22"/>
      <c r="E394" s="23"/>
      <c r="F394" s="21"/>
      <c r="G394" s="21"/>
      <c r="H394" s="21"/>
      <c r="I394" s="21"/>
      <c r="J394" s="21"/>
    </row>
    <row r="395" spans="1:10" ht="15.75">
      <c r="A395" s="175"/>
      <c r="B395" s="40"/>
      <c r="C395" s="22"/>
      <c r="D395" s="22"/>
      <c r="E395" s="23"/>
      <c r="F395" s="21"/>
      <c r="G395" s="21"/>
      <c r="H395" s="21"/>
      <c r="I395" s="21"/>
      <c r="J395" s="21"/>
    </row>
    <row r="396" spans="1:10" ht="15.75">
      <c r="A396" s="175"/>
      <c r="B396" s="40"/>
      <c r="C396" s="22"/>
      <c r="D396" s="22"/>
      <c r="E396" s="23"/>
      <c r="F396" s="21"/>
      <c r="G396" s="21"/>
      <c r="H396" s="21"/>
      <c r="I396" s="21"/>
      <c r="J396" s="21"/>
    </row>
    <row r="397" spans="1:10" ht="15.75">
      <c r="A397" s="175"/>
      <c r="B397" s="40"/>
      <c r="C397" s="22"/>
      <c r="D397" s="22"/>
      <c r="E397" s="23"/>
      <c r="F397" s="21"/>
      <c r="G397" s="21"/>
      <c r="H397" s="21"/>
      <c r="I397" s="21"/>
      <c r="J397" s="21"/>
    </row>
    <row r="398" spans="1:10" ht="15.75">
      <c r="A398" s="175"/>
      <c r="B398" s="40"/>
      <c r="C398" s="22"/>
      <c r="D398" s="22"/>
      <c r="E398" s="23"/>
      <c r="F398" s="21"/>
      <c r="G398" s="21"/>
      <c r="H398" s="21"/>
      <c r="I398" s="21"/>
      <c r="J398" s="21"/>
    </row>
    <row r="399" spans="1:10" ht="15.75">
      <c r="A399" s="175"/>
      <c r="B399" s="40"/>
      <c r="C399" s="22"/>
      <c r="D399" s="22"/>
      <c r="E399" s="23"/>
      <c r="F399" s="21"/>
      <c r="G399" s="21"/>
      <c r="H399" s="21"/>
      <c r="I399" s="21"/>
      <c r="J399" s="21"/>
    </row>
    <row r="400" spans="1:10" ht="15.75">
      <c r="A400" s="175"/>
      <c r="B400" s="40"/>
      <c r="C400" s="22"/>
      <c r="D400" s="22"/>
      <c r="E400" s="23"/>
      <c r="F400" s="21"/>
      <c r="G400" s="21"/>
      <c r="H400" s="21"/>
      <c r="I400" s="21"/>
      <c r="J400" s="21"/>
    </row>
    <row r="401" spans="1:10" ht="15.75">
      <c r="A401" s="175"/>
      <c r="B401" s="40"/>
      <c r="C401" s="22"/>
      <c r="D401" s="22"/>
      <c r="E401" s="23"/>
      <c r="F401" s="21"/>
      <c r="G401" s="21"/>
      <c r="H401" s="21"/>
      <c r="I401" s="21"/>
      <c r="J401" s="21"/>
    </row>
    <row r="402" spans="1:10" ht="15.75">
      <c r="A402" s="175"/>
      <c r="B402" s="40"/>
      <c r="C402" s="22"/>
      <c r="D402" s="22"/>
      <c r="E402" s="23"/>
      <c r="F402" s="21"/>
      <c r="G402" s="21"/>
      <c r="H402" s="21"/>
      <c r="I402" s="21"/>
      <c r="J402" s="21"/>
    </row>
    <row r="403" spans="1:10" ht="15.75">
      <c r="A403" s="175"/>
      <c r="B403" s="40"/>
      <c r="C403" s="22"/>
      <c r="D403" s="22"/>
      <c r="E403" s="23"/>
      <c r="F403" s="21"/>
      <c r="G403" s="21"/>
      <c r="H403" s="21"/>
      <c r="I403" s="21"/>
      <c r="J403" s="21"/>
    </row>
    <row r="404" spans="1:10" ht="15.75">
      <c r="A404" s="175"/>
      <c r="B404" s="40"/>
      <c r="C404" s="22"/>
      <c r="D404" s="22"/>
      <c r="E404" s="23"/>
      <c r="F404" s="21"/>
      <c r="G404" s="21"/>
      <c r="H404" s="21"/>
      <c r="I404" s="21"/>
      <c r="J404" s="21"/>
    </row>
    <row r="405" spans="1:10" ht="15.75">
      <c r="A405" s="175"/>
      <c r="B405" s="40"/>
      <c r="C405" s="22"/>
      <c r="D405" s="22"/>
      <c r="E405" s="23"/>
      <c r="F405" s="21"/>
      <c r="G405" s="21"/>
      <c r="H405" s="21"/>
      <c r="I405" s="21"/>
      <c r="J405" s="21"/>
    </row>
    <row r="406" spans="1:10" ht="15.75">
      <c r="A406" s="175"/>
      <c r="B406" s="40"/>
      <c r="C406" s="22"/>
      <c r="D406" s="22"/>
      <c r="E406" s="23"/>
      <c r="F406" s="21"/>
      <c r="G406" s="21"/>
      <c r="H406" s="21"/>
      <c r="I406" s="21"/>
      <c r="J406" s="21"/>
    </row>
    <row r="407" spans="1:10" ht="15.75">
      <c r="A407" s="175"/>
      <c r="B407" s="40"/>
      <c r="C407" s="22"/>
      <c r="D407" s="22"/>
      <c r="E407" s="23"/>
      <c r="F407" s="21"/>
      <c r="G407" s="21"/>
      <c r="H407" s="21"/>
      <c r="I407" s="21"/>
      <c r="J407" s="21"/>
    </row>
    <row r="408" spans="1:10" ht="15.75">
      <c r="A408" s="175"/>
      <c r="B408" s="40"/>
      <c r="C408" s="22"/>
      <c r="D408" s="22"/>
      <c r="E408" s="23"/>
      <c r="F408" s="21"/>
      <c r="G408" s="21"/>
      <c r="H408" s="21"/>
      <c r="I408" s="21"/>
      <c r="J408" s="21"/>
    </row>
    <row r="409" spans="1:10" ht="15.75">
      <c r="A409" s="175"/>
      <c r="B409" s="40"/>
      <c r="C409" s="22"/>
      <c r="D409" s="22"/>
      <c r="E409" s="23"/>
      <c r="F409" s="21"/>
      <c r="G409" s="21"/>
      <c r="H409" s="21"/>
      <c r="I409" s="21"/>
      <c r="J409" s="21"/>
    </row>
    <row r="410" spans="1:10" ht="15.75">
      <c r="A410" s="175"/>
      <c r="B410" s="40"/>
      <c r="C410" s="22"/>
      <c r="D410" s="22"/>
      <c r="E410" s="23"/>
      <c r="F410" s="21"/>
      <c r="G410" s="21"/>
      <c r="H410" s="21"/>
      <c r="I410" s="21"/>
      <c r="J410" s="21"/>
    </row>
    <row r="411" spans="1:10" ht="15.75">
      <c r="A411" s="175"/>
      <c r="B411" s="40"/>
      <c r="C411" s="22"/>
      <c r="D411" s="22"/>
      <c r="E411" s="23"/>
      <c r="F411" s="21"/>
      <c r="G411" s="21"/>
      <c r="H411" s="21"/>
      <c r="I411" s="21"/>
      <c r="J411" s="21"/>
    </row>
    <row r="412" spans="1:10" ht="15.75">
      <c r="A412" s="175"/>
      <c r="B412" s="40"/>
      <c r="C412" s="22"/>
      <c r="D412" s="22"/>
      <c r="E412" s="23"/>
      <c r="F412" s="21"/>
      <c r="G412" s="21"/>
      <c r="H412" s="21"/>
      <c r="I412" s="21"/>
      <c r="J412" s="21"/>
    </row>
    <row r="413" spans="1:10" ht="15.75">
      <c r="A413" s="175"/>
      <c r="B413" s="40"/>
      <c r="C413" s="22"/>
      <c r="D413" s="22"/>
      <c r="E413" s="23"/>
      <c r="F413" s="21"/>
      <c r="G413" s="21"/>
      <c r="H413" s="21"/>
      <c r="I413" s="21"/>
      <c r="J413" s="21"/>
    </row>
    <row r="414" spans="1:10" ht="15.75">
      <c r="A414" s="175"/>
      <c r="B414" s="40"/>
      <c r="C414" s="22"/>
      <c r="D414" s="22"/>
      <c r="E414" s="23"/>
      <c r="F414" s="21"/>
      <c r="G414" s="21"/>
      <c r="H414" s="21"/>
      <c r="I414" s="21"/>
      <c r="J414" s="21"/>
    </row>
    <row r="415" spans="2:10" ht="12.75"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2:10" ht="12.75"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2:10" ht="12.75"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2:10" ht="12.75"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2:10" ht="12.75"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2:10" ht="12.75"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2:10" ht="12.75"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2:10" ht="12.75"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2:10" ht="12.75"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2:10" ht="12.75"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2:10" ht="12.75"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2:10" ht="12.75"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2:10" ht="12.75"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2:10" ht="12.75"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2:10" ht="12.75"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2:10" ht="12.75"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2:10" ht="12.75"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2:10" ht="12.75"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2:10" ht="12.75"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2:10" ht="12.75"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2:10" ht="12.75"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2:10" ht="12.75"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2:10" ht="12.75"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2:10" ht="12.75"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2:10" ht="12.75"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2:10" ht="12.75"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2:10" ht="12.75"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2:10" ht="12.75"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2:10" ht="12.75"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2:10" ht="12.75"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2:10" ht="12.75"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2:10" ht="12.75"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2:10" ht="12.75"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2:10" ht="12.75"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2:10" ht="12.75"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2:10" ht="12.75"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2:10" ht="12.75"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2:10" ht="12.75"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2:10" ht="12.75"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2:10" ht="12.75"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2:10" ht="12.75"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2:10" ht="12.75"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2:10" ht="12.75"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2:10" ht="12.75"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2:10" ht="12.75"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2:10" ht="12.75"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2:10" ht="12.75"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2:10" ht="12.75"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2:10" ht="12.75"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2:10" ht="12.75"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2:10" ht="12.75"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2:10" ht="12.75"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2:10" ht="12.75"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2:10" ht="12.75"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2:10" ht="12.75"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2:10" ht="12.75"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2:10" ht="12.75"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2:10" ht="12.75"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2:10" ht="12.75"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2:10" ht="12.75"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2:10" ht="12.75"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2:10" ht="12.75"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2:10" ht="12.75"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2:10" ht="12.75"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2:10" ht="12.75"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2:10" ht="12.75"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2:10" ht="12.75"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2:10" ht="12.75"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2:10" ht="12.75"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2:10" ht="12.75"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2:10" ht="12.75"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2:10" ht="12.75"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2:10" ht="12.75"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2:10" ht="12.75"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2:10" ht="12.75"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2:10" ht="12.75"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2:10" ht="12.75"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2:10" ht="12.75"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2:10" ht="12.75"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2:10" ht="12.75"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2:10" ht="12.75"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2:10" ht="12.75"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2:10" ht="12.75"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2:10" ht="12.75"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2:10" ht="12.75"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2:10" ht="12.75"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2:10" ht="12.75"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2:10" ht="12.75"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2:10" ht="12.75"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2:10" ht="12.75"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2:10" ht="12.75"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2:10" ht="12.75"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2:10" ht="12.75"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2:10" ht="12.75"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2:10" ht="12.75"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2:10" ht="12.75"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2:10" ht="12.75"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2:10" ht="12.75"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2:10" ht="12.75"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2:10" ht="12.75"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2:10" ht="12.75"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2:10" ht="12.75"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2:10" ht="12.75"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2:10" ht="12.75"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2:10" ht="12.75"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2:10" ht="12.75"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2:10" ht="12.75"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2:10" ht="12.75"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2:10" ht="12.75"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2:10" ht="12.75"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2:10" ht="12.75"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2:10" ht="12.75"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2:10" ht="12.75"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2:10" ht="12.75"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2:10" ht="12.75"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2:10" ht="12.75"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2:10" ht="12.75"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2:10" ht="12.75"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2:10" ht="12.75"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2:10" ht="12.75"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2:10" ht="12.75"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2:10" ht="12.75"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2:10" ht="12.75"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2:10" ht="12.75"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2:10" ht="12.75"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2:10" ht="12.75"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2:10" ht="12.75"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2:10" ht="12.75"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2:10" ht="12.75"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2:10" ht="12.75"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2:10" ht="12.75"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2:10" ht="12.75"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2:10" ht="12.75"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2:10" ht="12.75"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2:10" ht="12.75"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2:10" ht="12.75"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2:10" ht="12.75"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2:10" ht="12.75"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2:10" ht="12.75"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2:10" ht="12.75"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2:10" ht="12.75"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2:10" ht="12.75"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2:10" ht="12.75"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2:10" ht="12.75"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2:10" ht="12.75"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2:10" ht="12.75"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2:10" ht="12.75"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2:10" ht="12.75">
      <c r="B562" s="21"/>
      <c r="C562" s="21"/>
      <c r="D562" s="21"/>
      <c r="E562" s="21"/>
      <c r="F562" s="21"/>
      <c r="G562" s="21"/>
      <c r="H562" s="21"/>
      <c r="I562" s="21"/>
      <c r="J562" s="21"/>
    </row>
  </sheetData>
  <printOptions horizontalCentered="1" verticalCentered="1"/>
  <pageMargins left="0.037401575" right="0.037401575" top="1" bottom="1" header="0" footer="0"/>
  <pageSetup horizontalDpi="200" verticalDpi="2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TEMPORGRAF SA</dc:creator>
  <cp:keywords/>
  <dc:description/>
  <cp:lastModifiedBy>uno</cp:lastModifiedBy>
  <cp:lastPrinted>2001-08-24T16:07:05Z</cp:lastPrinted>
  <dcterms:created xsi:type="dcterms:W3CDTF">2001-08-24T12:19:33Z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